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4 кв" sheetId="23" r:id="rId1"/>
    <sheet name="3 кв" sheetId="22" r:id="rId2"/>
    <sheet name="2 кв" sheetId="21" r:id="rId3"/>
    <sheet name="1 кв" sheetId="20" r:id="rId4"/>
  </sheets>
  <calcPr calcId="125725" iterateDelta="1E-4"/>
</workbook>
</file>

<file path=xl/calcChain.xml><?xml version="1.0" encoding="utf-8"?>
<calcChain xmlns="http://schemas.openxmlformats.org/spreadsheetml/2006/main">
  <c r="E39" i="23"/>
  <c r="E15"/>
  <c r="P15" s="1"/>
  <c r="E25"/>
  <c r="E26"/>
  <c r="E23"/>
  <c r="E24"/>
  <c r="E22"/>
  <c r="E21"/>
  <c r="P21" s="1"/>
  <c r="E20"/>
  <c r="P20" s="1"/>
  <c r="E19"/>
  <c r="E18"/>
  <c r="E17"/>
  <c r="E16"/>
  <c r="E14"/>
  <c r="E13"/>
  <c r="E12"/>
  <c r="P23"/>
  <c r="N23"/>
  <c r="K23"/>
  <c r="N21"/>
  <c r="N20"/>
  <c r="N15"/>
  <c r="E36" i="22"/>
  <c r="E15"/>
  <c r="E26"/>
  <c r="E23"/>
  <c r="E24"/>
  <c r="E22"/>
  <c r="E21"/>
  <c r="P21" s="1"/>
  <c r="E20"/>
  <c r="P20" s="1"/>
  <c r="E19"/>
  <c r="E18"/>
  <c r="E17"/>
  <c r="E16"/>
  <c r="E14"/>
  <c r="E13"/>
  <c r="E12"/>
  <c r="P23"/>
  <c r="N23"/>
  <c r="K23"/>
  <c r="K24" s="1"/>
  <c r="N21"/>
  <c r="N20"/>
  <c r="P15"/>
  <c r="N15"/>
  <c r="E33" i="21"/>
  <c r="E26"/>
  <c r="E24"/>
  <c r="E23"/>
  <c r="E22"/>
  <c r="E21"/>
  <c r="E20"/>
  <c r="E19"/>
  <c r="E18"/>
  <c r="E17"/>
  <c r="E16"/>
  <c r="E14"/>
  <c r="E13"/>
  <c r="E12"/>
  <c r="R23" i="23" l="1"/>
  <c r="R26" s="1"/>
  <c r="K24"/>
  <c r="R15"/>
  <c r="R21"/>
  <c r="R20"/>
  <c r="R15" i="22"/>
  <c r="R21"/>
  <c r="R20"/>
  <c r="R23"/>
  <c r="R26" s="1"/>
  <c r="P23" i="21"/>
  <c r="N23"/>
  <c r="R23" s="1"/>
  <c r="R26" s="1"/>
  <c r="K23"/>
  <c r="R21"/>
  <c r="P21"/>
  <c r="N21"/>
  <c r="P20"/>
  <c r="R20" s="1"/>
  <c r="N20"/>
  <c r="K24"/>
  <c r="P15"/>
  <c r="R15" s="1"/>
  <c r="N15"/>
  <c r="E33" i="20"/>
  <c r="E26" l="1"/>
  <c r="E22"/>
  <c r="E21"/>
  <c r="P21" s="1"/>
  <c r="E20"/>
  <c r="P20" s="1"/>
  <c r="E19"/>
  <c r="E18"/>
  <c r="E17"/>
  <c r="E16"/>
  <c r="E15"/>
  <c r="E14"/>
  <c r="E13"/>
  <c r="E12"/>
  <c r="P23"/>
  <c r="N23"/>
  <c r="N20"/>
  <c r="P15"/>
  <c r="N15"/>
  <c r="N21"/>
  <c r="E23"/>
  <c r="E24"/>
  <c r="K23"/>
  <c r="R21" l="1"/>
  <c r="R23"/>
  <c r="R26" s="1"/>
  <c r="R20"/>
  <c r="R15"/>
  <c r="K24"/>
</calcChain>
</file>

<file path=xl/sharedStrings.xml><?xml version="1.0" encoding="utf-8"?>
<sst xmlns="http://schemas.openxmlformats.org/spreadsheetml/2006/main" count="548" uniqueCount="97">
  <si>
    <t>АКТ №____</t>
  </si>
  <si>
    <t>приемки оказанных услуг (выполненных работ) по содержанию и текущему ремонту общего имущества в МКД</t>
  </si>
  <si>
    <t>г. Ставрополь</t>
  </si>
  <si>
    <t>Наименование вида работы (услуги)</t>
  </si>
  <si>
    <t>Переодичность  выполнения работ</t>
  </si>
  <si>
    <t>Единица измерения</t>
  </si>
  <si>
    <t>Стоимость/сметная стоимость выполненной работы (оказанной услуги) за единицу</t>
  </si>
  <si>
    <t>Цена выполненной работы (оказанной услуги)</t>
  </si>
  <si>
    <t>постоянно</t>
  </si>
  <si>
    <t>кв.м.</t>
  </si>
  <si>
    <t xml:space="preserve">Работы по содержанию придомовой территории </t>
  </si>
  <si>
    <t>Дератизация и дезинсекция</t>
  </si>
  <si>
    <t xml:space="preserve">Аварийная служба систем водоснабжения и канализации </t>
  </si>
  <si>
    <t>непрерывно в течение года</t>
  </si>
  <si>
    <t xml:space="preserve">Аварийная служба систем электроснабжения </t>
  </si>
  <si>
    <t xml:space="preserve">Услуги по начислению и сбору платежей </t>
  </si>
  <si>
    <t>ИТОГ</t>
  </si>
  <si>
    <t>Настоящий акт составлен в двух экземплярах, имеющих одинаковую юридическую силу, по одному для каждой из Сторон.</t>
  </si>
  <si>
    <t>Подписи сторон:</t>
  </si>
  <si>
    <t>Исполнитель</t>
  </si>
  <si>
    <t>_______________________________________</t>
  </si>
  <si>
    <t>____________</t>
  </si>
  <si>
    <t>(должность, ФИО)</t>
  </si>
  <si>
    <t>(подпись)</t>
  </si>
  <si>
    <t>Заказчик</t>
  </si>
  <si>
    <t>Работы, выполняемые в целях надлежащего содержания электрооборудования в МКД</t>
  </si>
  <si>
    <t>Общие работы, выполняемые для надлежащего содержания систем водоснабжения (холодного и горячего), отопления и водоотведения в МКД</t>
  </si>
  <si>
    <t>Проведение осмотров, необходимых для надлежащего содержания конструктивных элементов МКД</t>
  </si>
  <si>
    <t>Управление МКД</t>
  </si>
  <si>
    <t>Работы по содержанию мусоропровода</t>
  </si>
  <si>
    <t>Техобслуживание лифтов</t>
  </si>
  <si>
    <t>Техническое освидетельствование лифтов</t>
  </si>
  <si>
    <t>по графику</t>
  </si>
  <si>
    <t>Генеральный директор ООО УК "Авантаж"</t>
  </si>
  <si>
    <t>Электроснабжение СОИ</t>
  </si>
  <si>
    <t>руб</t>
  </si>
  <si>
    <r>
      <t xml:space="preserve">Собственники помещений в МКД, расположенном по адресу </t>
    </r>
    <r>
      <rPr>
        <b/>
        <sz val="11"/>
        <rFont val="Times New Roman"/>
        <family val="1"/>
        <charset val="204"/>
      </rPr>
      <t>ул. Ленина 74/17</t>
    </r>
    <r>
      <rPr>
        <sz val="11"/>
        <rFont val="Times New Roman"/>
        <family val="1"/>
        <charset val="204"/>
      </rPr>
      <t>, именуемые в дальнейшем "Заказчик", в лице___________________________являющегося собственником квартиры №____, находящейся в данном МКД, действующего на основании Протокола, с одной стороны, и ООО Управляющая компания "Авантаж", именуемое в дальнейшем "Исполнитель", в лице генерального директора Ефимовой Татьяны Игорьевны, действующей на основании Лицензии, с другой стороны, совместно именуемые "Стороны", составили настоящий Акт о нижеследующем:</t>
    </r>
  </si>
  <si>
    <t>Работы, выполняемые в целях надлежащего содержания систем теплоснабжения (отопление) в МКД</t>
  </si>
  <si>
    <t>Техническое обслуживание узла учета ИТП</t>
  </si>
  <si>
    <t>Уборка подъездов</t>
  </si>
  <si>
    <t>Водоснабжения и водоотведение СОИ</t>
  </si>
  <si>
    <t>1. Исполнителем предъявлены к приемке следующие оказанные на основании договора управления № 26/2021у от 25.02.2021 г. услуги и выполненные работы по содержанию и текущему ремонту общего имущества в МКД расположенного по адресу Ленина 74/17</t>
  </si>
  <si>
    <t>аварийка</t>
  </si>
  <si>
    <t>3. Работы (услуги) выполненны (оказаны) полностью, в установленные сроки, с надлежащим качеством.</t>
  </si>
  <si>
    <t xml:space="preserve">4. Претензий по выполнению условий Договора Стороны друг к другу не имеют. </t>
  </si>
  <si>
    <t>ежемесячно</t>
  </si>
  <si>
    <t>тариф</t>
  </si>
  <si>
    <t>смета</t>
  </si>
  <si>
    <t>"01" октября 2023 г</t>
  </si>
  <si>
    <t xml:space="preserve">по тарифу </t>
  </si>
  <si>
    <t>по факту</t>
  </si>
  <si>
    <t>разница</t>
  </si>
  <si>
    <t>остаток от аварийки</t>
  </si>
  <si>
    <t>узел</t>
  </si>
  <si>
    <t>тепло</t>
  </si>
  <si>
    <t>дератиз</t>
  </si>
  <si>
    <t>0,26/0,65</t>
  </si>
  <si>
    <t>0,35/0,69</t>
  </si>
  <si>
    <t>1,75/1,93</t>
  </si>
  <si>
    <t>0,6/1,15</t>
  </si>
  <si>
    <t>0,27/1,09</t>
  </si>
  <si>
    <t>0,03/0,05</t>
  </si>
  <si>
    <t>1,57/2,56</t>
  </si>
  <si>
    <t>1,04/1,93</t>
  </si>
  <si>
    <t>2,1/3,48</t>
  </si>
  <si>
    <t>1/2,96</t>
  </si>
  <si>
    <t>Установка светильников на 6-м этаже</t>
  </si>
  <si>
    <t>январь</t>
  </si>
  <si>
    <t>Смена ламп и светильников</t>
  </si>
  <si>
    <t>февраль</t>
  </si>
  <si>
    <t>Ремонт двери входа на кровлю и чердак</t>
  </si>
  <si>
    <t>Установка системы видеонаблюдения</t>
  </si>
  <si>
    <t>март</t>
  </si>
  <si>
    <t>внесение собственниками наличных ср-в</t>
  </si>
  <si>
    <t>2. Всего за период с 01.01.2024 г по 31.03.2024 г. выполнено работ (оказанно услуг) на общую сумму 597731 (пятьсот девяносто семь тысяч семьсот тридцать один) рубль 80 коп.</t>
  </si>
  <si>
    <t>Составил:</t>
  </si>
  <si>
    <t>Начальник ПЭО Лебедева О.И</t>
  </si>
  <si>
    <t>Миткалов П.Н.</t>
  </si>
  <si>
    <t>"01" июля 2024 г</t>
  </si>
  <si>
    <t>2. Всего за период с 01.01.2024 г по 30.63.2024 г. выполнено работ (оказанно услуг) на общую сумму 780046 (семьсот восемьдесят тысяч сорок шесть) рублей 56 коп.</t>
  </si>
  <si>
    <t>"01" октября 2024 г</t>
  </si>
  <si>
    <t>Ефимова Т.И</t>
  </si>
  <si>
    <t>Замена водомера</t>
  </si>
  <si>
    <t>август</t>
  </si>
  <si>
    <t>Ремонт регулятора</t>
  </si>
  <si>
    <t>сентябрь</t>
  </si>
  <si>
    <t>Техническое обследование строительных работ (доп. ср-ва)</t>
  </si>
  <si>
    <t>2. Всего за период с 01.01.2024 г по 30.09.2024 г. выполнено работ (оказанно услуг) на общую сумму 1157065 (один миллион сто пятьдесят семь тысяч шестьдесят пять) рублей 96 коп.</t>
  </si>
  <si>
    <t>"01" января 2025 г</t>
  </si>
  <si>
    <t>Установка светильников на 6-м этаже (КС)</t>
  </si>
  <si>
    <t>Гидроизоляция фасада</t>
  </si>
  <si>
    <t>октябрь</t>
  </si>
  <si>
    <t>ноябрь</t>
  </si>
  <si>
    <t>Ремонт приборов учета</t>
  </si>
  <si>
    <t>декабрь</t>
  </si>
  <si>
    <t>2. Всего за период с 01.01.2024 г по 31.12.2024 г. выполнено работ (оказанно услуг) на общую сумму 1615881 (один миллион шестьсот пятнадцать тысяч восемьсот восемьдесят один) рубл 77 коп.</t>
  </si>
  <si>
    <t xml:space="preserve">Техническое обследование строительных работ 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</si>
</sst>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55">
    <xf numFmtId="0" fontId="0" fillId="0" borderId="0" xfId="0"/>
    <xf numFmtId="0" fontId="2" fillId="0" borderId="0" xfId="0" applyFont="1" applyAlignment="1">
      <alignment horizontal="center" wrapText="1"/>
    </xf>
    <xf numFmtId="4" fontId="2" fillId="0" borderId="0" xfId="0" applyNumberFormat="1" applyFont="1" applyAlignment="1">
      <alignment horizontal="center" wrapText="1"/>
    </xf>
    <xf numFmtId="0" fontId="4" fillId="0" borderId="0" xfId="0" applyFont="1"/>
    <xf numFmtId="4" fontId="4" fillId="0" borderId="0" xfId="0" applyNumberFormat="1" applyFont="1" applyAlignment="1">
      <alignment horizontal="center"/>
    </xf>
    <xf numFmtId="0" fontId="3" fillId="0" borderId="0" xfId="0" applyFont="1"/>
    <xf numFmtId="4" fontId="3" fillId="0" borderId="0" xfId="0" applyNumberFormat="1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0" fillId="0" borderId="0" xfId="0" applyNumberFormat="1" applyAlignment="1">
      <alignment horizontal="center"/>
    </xf>
    <xf numFmtId="4" fontId="0" fillId="0" borderId="0" xfId="0" applyNumberFormat="1"/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4" fontId="6" fillId="0" borderId="4" xfId="0" applyNumberFormat="1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4" fontId="4" fillId="0" borderId="5" xfId="0" applyNumberFormat="1" applyFont="1" applyBorder="1" applyAlignment="1">
      <alignment horizontal="left" vertical="center" wrapText="1"/>
    </xf>
    <xf numFmtId="0" fontId="8" fillId="0" borderId="7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4" fontId="8" fillId="0" borderId="9" xfId="0" applyNumberFormat="1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2" fontId="7" fillId="0" borderId="1" xfId="0" applyNumberFormat="1" applyFont="1" applyBorder="1" applyAlignment="1">
      <alignment horizontal="center" vertical="center" wrapText="1"/>
    </xf>
    <xf numFmtId="0" fontId="11" fillId="0" borderId="0" xfId="0" applyFont="1"/>
    <xf numFmtId="4" fontId="4" fillId="0" borderId="6" xfId="0" applyNumberFormat="1" applyFont="1" applyBorder="1" applyAlignment="1">
      <alignment horizontal="center" vertical="center" wrapText="1"/>
    </xf>
    <xf numFmtId="0" fontId="0" fillId="0" borderId="1" xfId="0" applyBorder="1"/>
    <xf numFmtId="4" fontId="0" fillId="0" borderId="1" xfId="0" applyNumberFormat="1" applyBorder="1"/>
    <xf numFmtId="4" fontId="4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/>
    <xf numFmtId="0" fontId="0" fillId="0" borderId="13" xfId="0" applyBorder="1"/>
    <xf numFmtId="0" fontId="0" fillId="0" borderId="11" xfId="0" applyBorder="1"/>
    <xf numFmtId="0" fontId="0" fillId="0" borderId="14" xfId="0" applyBorder="1"/>
    <xf numFmtId="4" fontId="10" fillId="0" borderId="2" xfId="0" applyNumberFormat="1" applyFont="1" applyBorder="1"/>
    <xf numFmtId="0" fontId="0" fillId="0" borderId="4" xfId="0" applyBorder="1"/>
    <xf numFmtId="0" fontId="10" fillId="0" borderId="1" xfId="0" applyFont="1" applyBorder="1"/>
    <xf numFmtId="0" fontId="12" fillId="0" borderId="1" xfId="0" applyFont="1" applyBorder="1"/>
    <xf numFmtId="0" fontId="3" fillId="0" borderId="0" xfId="0" applyFont="1" applyAlignment="1">
      <alignment horizontal="left" wrapText="1"/>
    </xf>
    <xf numFmtId="4" fontId="13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</cellXfs>
  <cellStyles count="2">
    <cellStyle name="Excel Built-in 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60"/>
  <sheetViews>
    <sheetView tabSelected="1" topLeftCell="A22" workbookViewId="0">
      <selection activeCell="W36" sqref="W36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9" customWidth="1"/>
    <col min="6" max="6" width="9.140625" customWidth="1"/>
    <col min="7" max="7" width="11.140625" customWidth="1"/>
    <col min="8" max="8" width="10" customWidth="1"/>
    <col min="9" max="12" width="0" hidden="1" customWidth="1"/>
    <col min="13" max="13" width="9.7109375" hidden="1" customWidth="1"/>
    <col min="14" max="17" width="9.140625" hidden="1" customWidth="1"/>
    <col min="18" max="18" width="10.85546875" hidden="1" customWidth="1"/>
    <col min="19" max="19" width="9.140625" hidden="1" customWidth="1"/>
    <col min="23" max="23" width="10" bestFit="1" customWidth="1"/>
  </cols>
  <sheetData>
    <row r="1" spans="1:19" ht="15.75">
      <c r="A1" s="48" t="s">
        <v>0</v>
      </c>
      <c r="B1" s="48"/>
      <c r="C1" s="48"/>
      <c r="D1" s="48"/>
      <c r="E1" s="48"/>
    </row>
    <row r="2" spans="1:19" ht="15.75">
      <c r="A2" s="49" t="s">
        <v>1</v>
      </c>
      <c r="B2" s="49"/>
      <c r="C2" s="49"/>
      <c r="D2" s="49"/>
      <c r="E2" s="49"/>
    </row>
    <row r="3" spans="1:19">
      <c r="A3" s="1"/>
      <c r="B3" s="1"/>
      <c r="C3" s="1"/>
      <c r="D3" s="1"/>
      <c r="E3" s="2"/>
    </row>
    <row r="4" spans="1:19">
      <c r="A4" s="45" t="s">
        <v>2</v>
      </c>
      <c r="B4" s="1"/>
      <c r="C4" s="1"/>
      <c r="D4" s="50" t="s">
        <v>88</v>
      </c>
      <c r="E4" s="50"/>
    </row>
    <row r="5" spans="1:19">
      <c r="A5" s="1"/>
      <c r="B5" s="1"/>
      <c r="C5" s="1"/>
      <c r="D5" s="1"/>
      <c r="E5" s="2"/>
    </row>
    <row r="6" spans="1:19">
      <c r="A6" s="1"/>
      <c r="B6" s="1"/>
      <c r="C6" s="1"/>
      <c r="D6" s="1"/>
      <c r="E6" s="2"/>
    </row>
    <row r="7" spans="1:19" ht="93" customHeight="1">
      <c r="A7" s="51" t="s">
        <v>36</v>
      </c>
      <c r="B7" s="51"/>
      <c r="C7" s="51"/>
      <c r="D7" s="51"/>
      <c r="E7" s="51"/>
    </row>
    <row r="8" spans="1:19">
      <c r="A8" s="3"/>
      <c r="B8" s="3"/>
      <c r="C8" s="3"/>
      <c r="D8" s="3"/>
      <c r="E8" s="4"/>
    </row>
    <row r="9" spans="1:19" ht="45.75" customHeight="1">
      <c r="A9" s="51" t="s">
        <v>41</v>
      </c>
      <c r="B9" s="51"/>
      <c r="C9" s="51"/>
      <c r="D9" s="51"/>
      <c r="E9" s="51"/>
    </row>
    <row r="10" spans="1:19" ht="15.75" thickBot="1">
      <c r="A10" s="5"/>
      <c r="B10" s="5"/>
      <c r="C10" s="5"/>
      <c r="D10" s="5"/>
      <c r="E10" s="6"/>
      <c r="G10">
        <v>4657.7</v>
      </c>
    </row>
    <row r="11" spans="1:19" ht="75">
      <c r="A11" s="11" t="s">
        <v>3</v>
      </c>
      <c r="B11" s="12" t="s">
        <v>4</v>
      </c>
      <c r="C11" s="12" t="s">
        <v>5</v>
      </c>
      <c r="D11" s="13" t="s">
        <v>6</v>
      </c>
      <c r="E11" s="14" t="s">
        <v>7</v>
      </c>
    </row>
    <row r="12" spans="1:19" ht="45.75" customHeight="1">
      <c r="A12" s="15" t="s">
        <v>27</v>
      </c>
      <c r="B12" s="7" t="s">
        <v>8</v>
      </c>
      <c r="C12" s="7" t="s">
        <v>9</v>
      </c>
      <c r="D12" s="8" t="s">
        <v>56</v>
      </c>
      <c r="E12" s="16">
        <f>0.26*$G$10*1+0.65*G10*11</f>
        <v>34513.557000000001</v>
      </c>
    </row>
    <row r="13" spans="1:19" ht="54.75" customHeight="1">
      <c r="A13" s="17" t="s">
        <v>26</v>
      </c>
      <c r="B13" s="7" t="s">
        <v>8</v>
      </c>
      <c r="C13" s="7" t="s">
        <v>9</v>
      </c>
      <c r="D13" s="8" t="s">
        <v>57</v>
      </c>
      <c r="E13" s="16">
        <f>0.35*$G$10*1+0.69*G10*11</f>
        <v>36982.137999999999</v>
      </c>
    </row>
    <row r="14" spans="1:19" ht="38.25">
      <c r="A14" s="17" t="s">
        <v>25</v>
      </c>
      <c r="B14" s="7" t="s">
        <v>8</v>
      </c>
      <c r="C14" s="7" t="s">
        <v>9</v>
      </c>
      <c r="D14" s="8" t="s">
        <v>59</v>
      </c>
      <c r="E14" s="16">
        <f>0.6*$G$10*1+1.15*G10*11</f>
        <v>61714.525000000001</v>
      </c>
    </row>
    <row r="15" spans="1:19">
      <c r="A15" s="18" t="s">
        <v>11</v>
      </c>
      <c r="B15" s="7" t="s">
        <v>32</v>
      </c>
      <c r="C15" s="7" t="s">
        <v>9</v>
      </c>
      <c r="D15" s="28" t="s">
        <v>61</v>
      </c>
      <c r="E15" s="43">
        <f>2585+5912.5</f>
        <v>8497.5</v>
      </c>
      <c r="G15" s="10"/>
      <c r="M15" s="40" t="s">
        <v>49</v>
      </c>
      <c r="N15" s="31">
        <f>0.03*12*G10</f>
        <v>1676.7719999999999</v>
      </c>
      <c r="O15" s="40" t="s">
        <v>50</v>
      </c>
      <c r="P15" s="32">
        <f>E15</f>
        <v>8497.5</v>
      </c>
      <c r="Q15" s="40" t="s">
        <v>51</v>
      </c>
      <c r="R15" s="31">
        <f>N15-P15</f>
        <v>-6820.7280000000001</v>
      </c>
      <c r="S15" s="40" t="s">
        <v>55</v>
      </c>
    </row>
    <row r="16" spans="1:19" ht="25.5">
      <c r="A16" s="18" t="s">
        <v>10</v>
      </c>
      <c r="B16" s="7" t="s">
        <v>32</v>
      </c>
      <c r="C16" s="7" t="s">
        <v>9</v>
      </c>
      <c r="D16" s="7" t="s">
        <v>62</v>
      </c>
      <c r="E16" s="16">
        <f>1.57*$G$10*1+2.56*11*G10</f>
        <v>138473.421</v>
      </c>
      <c r="M16" s="40"/>
      <c r="N16" s="31"/>
      <c r="O16" s="40"/>
      <c r="P16" s="31"/>
      <c r="Q16" s="40"/>
      <c r="R16" s="31"/>
      <c r="S16" s="31"/>
    </row>
    <row r="17" spans="1:20">
      <c r="A17" s="18" t="s">
        <v>28</v>
      </c>
      <c r="B17" s="7" t="s">
        <v>8</v>
      </c>
      <c r="C17" s="7" t="s">
        <v>9</v>
      </c>
      <c r="D17" s="8" t="s">
        <v>64</v>
      </c>
      <c r="E17" s="16">
        <f>2.1*$G$10*1+3.48*11*G10</f>
        <v>188077.92600000001</v>
      </c>
      <c r="M17" s="40"/>
      <c r="N17" s="31"/>
      <c r="O17" s="40"/>
      <c r="P17" s="31"/>
      <c r="Q17" s="40"/>
      <c r="R17" s="31"/>
      <c r="S17" s="31"/>
    </row>
    <row r="18" spans="1:20" ht="21" customHeight="1">
      <c r="A18" s="17" t="s">
        <v>29</v>
      </c>
      <c r="B18" s="7" t="s">
        <v>32</v>
      </c>
      <c r="C18" s="7" t="s">
        <v>9</v>
      </c>
      <c r="D18" s="8" t="s">
        <v>63</v>
      </c>
      <c r="E18" s="16">
        <f>1.04*$G$10*1+1.93*11*G10</f>
        <v>103726.97900000001</v>
      </c>
      <c r="M18" s="40"/>
      <c r="N18" s="31"/>
      <c r="O18" s="40"/>
      <c r="P18" s="31"/>
      <c r="Q18" s="40"/>
      <c r="R18" s="31"/>
      <c r="S18" s="31"/>
    </row>
    <row r="19" spans="1:20" ht="25.5">
      <c r="A19" s="18" t="s">
        <v>12</v>
      </c>
      <c r="B19" s="7" t="s">
        <v>13</v>
      </c>
      <c r="C19" s="7" t="s">
        <v>9</v>
      </c>
      <c r="D19" s="8">
        <v>0.98</v>
      </c>
      <c r="E19" s="16">
        <f>D19*$G$10*12</f>
        <v>54774.551999999996</v>
      </c>
      <c r="M19" s="34"/>
      <c r="N19" s="31"/>
      <c r="O19" s="40"/>
      <c r="P19" s="31"/>
      <c r="Q19" s="40"/>
      <c r="R19" s="31"/>
      <c r="S19" s="31"/>
    </row>
    <row r="20" spans="1:20" ht="38.25">
      <c r="A20" s="18" t="s">
        <v>37</v>
      </c>
      <c r="B20" s="7" t="s">
        <v>13</v>
      </c>
      <c r="C20" s="7" t="s">
        <v>9</v>
      </c>
      <c r="D20" s="26" t="s">
        <v>58</v>
      </c>
      <c r="E20" s="30">
        <f>1.75*1*G10+1.93*11*G10</f>
        <v>107033.94600000001</v>
      </c>
      <c r="M20" s="40" t="s">
        <v>49</v>
      </c>
      <c r="N20" s="31">
        <f>1.75*12*G10</f>
        <v>97811.7</v>
      </c>
      <c r="O20" s="40" t="s">
        <v>50</v>
      </c>
      <c r="P20" s="33">
        <f>E20</f>
        <v>107033.94600000001</v>
      </c>
      <c r="Q20" s="40" t="s">
        <v>51</v>
      </c>
      <c r="R20" s="32">
        <f>N20-P20</f>
        <v>-9222.2460000000137</v>
      </c>
      <c r="S20" s="40" t="s">
        <v>54</v>
      </c>
    </row>
    <row r="21" spans="1:20" ht="25.5">
      <c r="A21" s="18" t="s">
        <v>38</v>
      </c>
      <c r="B21" s="7" t="s">
        <v>32</v>
      </c>
      <c r="C21" s="7" t="s">
        <v>9</v>
      </c>
      <c r="D21" s="26" t="s">
        <v>60</v>
      </c>
      <c r="E21" s="30">
        <f>0.27*1*G10+1.09*11*G10</f>
        <v>57103.401999999995</v>
      </c>
      <c r="G21" s="10"/>
      <c r="M21" s="40" t="s">
        <v>49</v>
      </c>
      <c r="N21" s="31">
        <f>0.27*12*G10</f>
        <v>15090.948</v>
      </c>
      <c r="O21" s="40" t="s">
        <v>50</v>
      </c>
      <c r="P21" s="32">
        <f>E21</f>
        <v>57103.401999999995</v>
      </c>
      <c r="Q21" s="40" t="s">
        <v>51</v>
      </c>
      <c r="R21" s="32">
        <f>N21-P21</f>
        <v>-42012.453999999998</v>
      </c>
      <c r="S21" s="40" t="s">
        <v>53</v>
      </c>
    </row>
    <row r="22" spans="1:20" ht="25.5">
      <c r="A22" s="18" t="s">
        <v>14</v>
      </c>
      <c r="B22" s="7" t="s">
        <v>13</v>
      </c>
      <c r="C22" s="7" t="s">
        <v>9</v>
      </c>
      <c r="D22" s="7">
        <v>0.35</v>
      </c>
      <c r="E22" s="16">
        <f>D22*$G$10*12</f>
        <v>19562.34</v>
      </c>
      <c r="M22" s="40"/>
      <c r="N22" s="31"/>
      <c r="O22" s="40"/>
      <c r="P22" s="31"/>
      <c r="Q22" s="40"/>
      <c r="R22" s="31"/>
      <c r="S22" s="40"/>
    </row>
    <row r="23" spans="1:20" ht="25.5">
      <c r="A23" s="18" t="s">
        <v>15</v>
      </c>
      <c r="B23" s="7" t="s">
        <v>8</v>
      </c>
      <c r="C23" s="7" t="s">
        <v>9</v>
      </c>
      <c r="D23" s="7">
        <v>0.98</v>
      </c>
      <c r="E23" s="16">
        <f t="shared" ref="E23:E25" si="0">D23*$G$10*12</f>
        <v>54774.551999999996</v>
      </c>
      <c r="K23">
        <f>D23*6*G10</f>
        <v>27387.275999999998</v>
      </c>
      <c r="L23" t="s">
        <v>42</v>
      </c>
      <c r="M23" s="41" t="s">
        <v>49</v>
      </c>
      <c r="N23" s="31">
        <f>0.98*12*G10</f>
        <v>54774.551999999996</v>
      </c>
      <c r="O23" s="40" t="s">
        <v>50</v>
      </c>
      <c r="P23" s="31">
        <f>14464</f>
        <v>14464</v>
      </c>
      <c r="Q23" s="40" t="s">
        <v>51</v>
      </c>
      <c r="R23" s="31">
        <f>N23-P23</f>
        <v>40310.551999999996</v>
      </c>
      <c r="S23" s="40" t="s">
        <v>42</v>
      </c>
    </row>
    <row r="24" spans="1:20">
      <c r="A24" s="17" t="s">
        <v>30</v>
      </c>
      <c r="B24" s="7" t="s">
        <v>8</v>
      </c>
      <c r="C24" s="7" t="s">
        <v>9</v>
      </c>
      <c r="D24" s="7">
        <v>3</v>
      </c>
      <c r="E24" s="16">
        <f t="shared" si="0"/>
        <v>167677.19999999998</v>
      </c>
      <c r="G24" s="10"/>
      <c r="H24" s="10"/>
      <c r="K24" s="10">
        <f>K23-E19</f>
        <v>-27387.275999999998</v>
      </c>
      <c r="M24" s="40"/>
      <c r="N24" s="31"/>
      <c r="O24" s="31"/>
      <c r="P24" s="31"/>
      <c r="Q24" s="31"/>
      <c r="R24" s="31"/>
      <c r="S24" s="31"/>
    </row>
    <row r="25" spans="1:20" ht="26.25" thickBot="1">
      <c r="A25" s="17" t="s">
        <v>31</v>
      </c>
      <c r="B25" s="7" t="s">
        <v>8</v>
      </c>
      <c r="C25" s="7" t="s">
        <v>9</v>
      </c>
      <c r="D25" s="7">
        <v>0.14000000000000001</v>
      </c>
      <c r="E25" s="16">
        <f t="shared" si="0"/>
        <v>7824.9360000000015</v>
      </c>
      <c r="G25" s="10"/>
      <c r="H25" s="10"/>
      <c r="M25" s="31"/>
      <c r="N25" s="31"/>
      <c r="O25" s="31"/>
      <c r="P25" s="31"/>
      <c r="Q25" s="31"/>
      <c r="R25" s="36"/>
      <c r="S25" s="36"/>
    </row>
    <row r="26" spans="1:20">
      <c r="A26" s="17" t="s">
        <v>39</v>
      </c>
      <c r="B26" s="7" t="s">
        <v>32</v>
      </c>
      <c r="C26" s="7" t="s">
        <v>9</v>
      </c>
      <c r="D26" s="7" t="s">
        <v>65</v>
      </c>
      <c r="E26" s="16">
        <f>1*$G$10*1+2.96*11*G10</f>
        <v>156312.41200000001</v>
      </c>
      <c r="G26" s="10"/>
      <c r="H26" s="10"/>
      <c r="M26" s="31"/>
      <c r="N26" s="31"/>
      <c r="O26" s="31"/>
      <c r="P26" s="31"/>
      <c r="Q26" s="35"/>
      <c r="R26" s="38">
        <f>R23-3874.62-26055.61-3319.028</f>
        <v>7061.2939999999926</v>
      </c>
      <c r="S26" s="39"/>
      <c r="T26" s="29"/>
    </row>
    <row r="27" spans="1:20" ht="15.75" thickBot="1">
      <c r="A27" s="25" t="s">
        <v>34</v>
      </c>
      <c r="B27" s="23" t="s">
        <v>45</v>
      </c>
      <c r="C27" s="23" t="s">
        <v>35</v>
      </c>
      <c r="D27" s="23" t="s">
        <v>46</v>
      </c>
      <c r="E27" s="24">
        <v>89836.52</v>
      </c>
      <c r="G27" s="10"/>
      <c r="H27" s="10"/>
      <c r="M27" s="31"/>
      <c r="N27" s="31"/>
      <c r="O27" s="31"/>
      <c r="P27" s="31"/>
      <c r="Q27" s="35"/>
      <c r="R27" s="46" t="s">
        <v>52</v>
      </c>
      <c r="S27" s="47"/>
    </row>
    <row r="28" spans="1:20">
      <c r="A28" s="17" t="s">
        <v>40</v>
      </c>
      <c r="B28" s="23" t="s">
        <v>45</v>
      </c>
      <c r="C28" s="23" t="s">
        <v>35</v>
      </c>
      <c r="D28" s="23" t="s">
        <v>46</v>
      </c>
      <c r="E28" s="24">
        <v>93848.91</v>
      </c>
      <c r="G28" s="10"/>
      <c r="H28" s="10"/>
      <c r="M28" s="31"/>
      <c r="N28" s="31"/>
      <c r="O28" s="31"/>
      <c r="P28" s="31"/>
      <c r="Q28" s="31"/>
      <c r="R28" s="37"/>
      <c r="S28" s="37"/>
    </row>
    <row r="29" spans="1:20" ht="25.5">
      <c r="A29" s="25" t="s">
        <v>89</v>
      </c>
      <c r="B29" s="23" t="s">
        <v>67</v>
      </c>
      <c r="C29" s="23" t="s">
        <v>35</v>
      </c>
      <c r="D29" s="23" t="s">
        <v>47</v>
      </c>
      <c r="E29" s="24">
        <v>5500</v>
      </c>
      <c r="G29" s="10"/>
      <c r="H29" s="10"/>
      <c r="M29" s="31"/>
      <c r="N29" s="31"/>
      <c r="O29" s="31"/>
      <c r="P29" s="31"/>
      <c r="Q29" s="31"/>
      <c r="R29" s="31"/>
      <c r="S29" s="31"/>
    </row>
    <row r="30" spans="1:20">
      <c r="A30" s="25" t="s">
        <v>68</v>
      </c>
      <c r="B30" s="23" t="s">
        <v>69</v>
      </c>
      <c r="C30" s="23" t="s">
        <v>35</v>
      </c>
      <c r="D30" s="23" t="s">
        <v>47</v>
      </c>
      <c r="E30" s="24">
        <v>7023</v>
      </c>
      <c r="G30" s="10"/>
      <c r="H30" s="10"/>
    </row>
    <row r="31" spans="1:20" ht="15" customHeight="1">
      <c r="A31" s="25" t="s">
        <v>70</v>
      </c>
      <c r="B31" s="23" t="s">
        <v>69</v>
      </c>
      <c r="C31" s="23" t="s">
        <v>35</v>
      </c>
      <c r="D31" s="23" t="s">
        <v>47</v>
      </c>
      <c r="E31" s="24">
        <v>600</v>
      </c>
      <c r="G31" s="10"/>
      <c r="H31" s="10"/>
    </row>
    <row r="32" spans="1:20" ht="15" customHeight="1">
      <c r="A32" s="25" t="s">
        <v>84</v>
      </c>
      <c r="B32" s="23" t="s">
        <v>69</v>
      </c>
      <c r="C32" s="23" t="s">
        <v>35</v>
      </c>
      <c r="D32" s="23" t="s">
        <v>47</v>
      </c>
      <c r="E32" s="24">
        <v>8856.9500000000007</v>
      </c>
      <c r="G32" s="10"/>
      <c r="H32" s="10"/>
    </row>
    <row r="33" spans="1:23" ht="39" customHeight="1">
      <c r="A33" s="25" t="s">
        <v>71</v>
      </c>
      <c r="B33" s="23" t="s">
        <v>72</v>
      </c>
      <c r="C33" s="23" t="s">
        <v>35</v>
      </c>
      <c r="D33" s="23" t="s">
        <v>73</v>
      </c>
      <c r="E33" s="24">
        <v>40429</v>
      </c>
      <c r="G33" s="10"/>
      <c r="H33" s="10"/>
    </row>
    <row r="34" spans="1:23">
      <c r="A34" s="25" t="s">
        <v>82</v>
      </c>
      <c r="B34" s="23" t="s">
        <v>83</v>
      </c>
      <c r="C34" s="23" t="s">
        <v>35</v>
      </c>
      <c r="D34" s="23" t="s">
        <v>47</v>
      </c>
      <c r="E34" s="24">
        <v>1466</v>
      </c>
      <c r="G34" s="10"/>
      <c r="H34" s="10"/>
    </row>
    <row r="35" spans="1:23" ht="25.5">
      <c r="A35" s="25" t="s">
        <v>96</v>
      </c>
      <c r="B35" s="23" t="s">
        <v>85</v>
      </c>
      <c r="C35" s="23" t="s">
        <v>35</v>
      </c>
      <c r="D35" s="23" t="s">
        <v>47</v>
      </c>
      <c r="E35" s="24">
        <v>45000</v>
      </c>
      <c r="G35" s="10"/>
      <c r="H35" s="10"/>
    </row>
    <row r="36" spans="1:23">
      <c r="A36" s="25" t="s">
        <v>90</v>
      </c>
      <c r="B36" s="23" t="s">
        <v>91</v>
      </c>
      <c r="C36" s="23" t="s">
        <v>35</v>
      </c>
      <c r="D36" s="23" t="s">
        <v>47</v>
      </c>
      <c r="E36" s="24">
        <v>119000</v>
      </c>
      <c r="G36" s="10"/>
      <c r="H36" s="10"/>
      <c r="W36" s="10"/>
    </row>
    <row r="37" spans="1:23">
      <c r="A37" s="25" t="s">
        <v>90</v>
      </c>
      <c r="B37" s="23" t="s">
        <v>92</v>
      </c>
      <c r="C37" s="23" t="s">
        <v>35</v>
      </c>
      <c r="D37" s="23" t="s">
        <v>47</v>
      </c>
      <c r="E37" s="24">
        <v>5400</v>
      </c>
      <c r="G37" s="10"/>
      <c r="H37" s="10"/>
    </row>
    <row r="38" spans="1:23">
      <c r="A38" s="25" t="s">
        <v>93</v>
      </c>
      <c r="B38" s="23" t="s">
        <v>94</v>
      </c>
      <c r="C38" s="23" t="s">
        <v>35</v>
      </c>
      <c r="D38" s="23" t="s">
        <v>47</v>
      </c>
      <c r="E38" s="24">
        <v>1872</v>
      </c>
      <c r="G38" s="10"/>
      <c r="H38" s="10"/>
    </row>
    <row r="39" spans="1:23" ht="19.5" thickBot="1">
      <c r="A39" s="19" t="s">
        <v>16</v>
      </c>
      <c r="B39" s="20"/>
      <c r="C39" s="20"/>
      <c r="D39" s="21"/>
      <c r="E39" s="22">
        <f>SUM(E12:E38)</f>
        <v>1615881.7659999998</v>
      </c>
      <c r="G39" s="10"/>
      <c r="H39" s="10"/>
    </row>
    <row r="40" spans="1:23">
      <c r="A40" s="5"/>
      <c r="B40" s="5"/>
      <c r="C40" s="5"/>
      <c r="D40" s="5"/>
      <c r="E40" s="6"/>
    </row>
    <row r="41" spans="1:23" ht="33" customHeight="1">
      <c r="A41" s="51" t="s">
        <v>95</v>
      </c>
      <c r="B41" s="51"/>
      <c r="C41" s="51"/>
      <c r="D41" s="51"/>
      <c r="E41" s="51"/>
    </row>
    <row r="42" spans="1:23">
      <c r="A42" s="5"/>
      <c r="B42" s="5"/>
      <c r="C42" s="5"/>
      <c r="D42" s="5"/>
      <c r="E42" s="6"/>
    </row>
    <row r="43" spans="1:23" ht="15" customHeight="1">
      <c r="A43" s="51" t="s">
        <v>43</v>
      </c>
      <c r="B43" s="51"/>
      <c r="C43" s="51"/>
      <c r="D43" s="51"/>
      <c r="E43" s="51"/>
    </row>
    <row r="44" spans="1:23">
      <c r="A44" s="5"/>
      <c r="B44" s="5"/>
      <c r="C44" s="5"/>
      <c r="D44" s="5"/>
      <c r="E44" s="6"/>
    </row>
    <row r="45" spans="1:23">
      <c r="A45" s="53" t="s">
        <v>44</v>
      </c>
      <c r="B45" s="53"/>
      <c r="C45" s="53"/>
      <c r="D45" s="53"/>
      <c r="E45" s="53"/>
    </row>
    <row r="46" spans="1:23">
      <c r="A46" s="5"/>
      <c r="B46" s="5"/>
      <c r="C46" s="5"/>
      <c r="D46" s="5"/>
      <c r="E46" s="6"/>
    </row>
    <row r="47" spans="1:23" ht="33" customHeight="1">
      <c r="A47" s="51" t="s">
        <v>17</v>
      </c>
      <c r="B47" s="51"/>
      <c r="C47" s="51"/>
      <c r="D47" s="51"/>
      <c r="E47" s="51"/>
    </row>
    <row r="48" spans="1:23">
      <c r="A48" s="5"/>
      <c r="B48" s="5"/>
      <c r="C48" s="5"/>
      <c r="D48" s="5"/>
      <c r="E48" s="6"/>
    </row>
    <row r="49" spans="1:5">
      <c r="A49" s="5"/>
      <c r="B49" s="5"/>
      <c r="C49" s="5"/>
      <c r="D49" s="5"/>
      <c r="E49" s="6"/>
    </row>
    <row r="50" spans="1:5">
      <c r="A50" s="54" t="s">
        <v>18</v>
      </c>
      <c r="B50" s="54"/>
      <c r="C50" s="54"/>
      <c r="D50" s="54"/>
      <c r="E50" s="54"/>
    </row>
    <row r="51" spans="1:5">
      <c r="A51" s="5"/>
      <c r="B51" s="5"/>
      <c r="C51" s="5"/>
      <c r="D51" s="5"/>
      <c r="E51" s="6"/>
    </row>
    <row r="52" spans="1:5">
      <c r="A52" s="5" t="s">
        <v>75</v>
      </c>
      <c r="B52" s="5" t="s">
        <v>76</v>
      </c>
      <c r="C52" s="5"/>
      <c r="D52" s="5"/>
      <c r="E52" s="6" t="s">
        <v>21</v>
      </c>
    </row>
    <row r="53" spans="1:5">
      <c r="A53" s="5"/>
      <c r="B53" s="5"/>
      <c r="C53" s="5"/>
      <c r="D53" s="5"/>
      <c r="E53" s="6" t="s">
        <v>23</v>
      </c>
    </row>
    <row r="54" spans="1:5">
      <c r="A54" s="5"/>
      <c r="B54" s="5"/>
      <c r="C54" s="5"/>
      <c r="D54" s="5"/>
      <c r="E54" s="6"/>
    </row>
    <row r="55" spans="1:5">
      <c r="A55" s="5" t="s">
        <v>19</v>
      </c>
      <c r="B55" s="5" t="s">
        <v>33</v>
      </c>
      <c r="C55" s="5"/>
      <c r="D55" s="5"/>
    </row>
    <row r="56" spans="1:5">
      <c r="A56" s="5"/>
      <c r="B56" s="53" t="s">
        <v>81</v>
      </c>
      <c r="C56" s="53"/>
      <c r="D56" s="53"/>
      <c r="E56" s="6" t="s">
        <v>21</v>
      </c>
    </row>
    <row r="57" spans="1:5">
      <c r="A57" s="5"/>
      <c r="B57" s="5"/>
      <c r="C57" s="5"/>
      <c r="D57" s="5"/>
      <c r="E57" s="6" t="s">
        <v>23</v>
      </c>
    </row>
    <row r="58" spans="1:5">
      <c r="A58" s="5"/>
      <c r="B58" s="5"/>
      <c r="C58" s="5"/>
      <c r="D58" s="5"/>
      <c r="E58" s="6"/>
    </row>
    <row r="59" spans="1:5">
      <c r="A59" s="5" t="s">
        <v>24</v>
      </c>
      <c r="B59" s="5" t="s">
        <v>20</v>
      </c>
      <c r="C59" s="5"/>
      <c r="D59" s="5"/>
      <c r="E59" s="6" t="s">
        <v>21</v>
      </c>
    </row>
    <row r="60" spans="1:5">
      <c r="A60" s="5"/>
      <c r="B60" s="52" t="s">
        <v>22</v>
      </c>
      <c r="C60" s="52"/>
      <c r="D60" s="52"/>
      <c r="E60" s="6" t="s">
        <v>23</v>
      </c>
    </row>
  </sheetData>
  <mergeCells count="13">
    <mergeCell ref="B60:D60"/>
    <mergeCell ref="A41:E41"/>
    <mergeCell ref="A43:E43"/>
    <mergeCell ref="A45:E45"/>
    <mergeCell ref="A47:E47"/>
    <mergeCell ref="A50:E50"/>
    <mergeCell ref="B56:D56"/>
    <mergeCell ref="R27:S27"/>
    <mergeCell ref="A1:E1"/>
    <mergeCell ref="A2:E2"/>
    <mergeCell ref="D4:E4"/>
    <mergeCell ref="A7:E7"/>
    <mergeCell ref="A9:E9"/>
  </mergeCells>
  <pageMargins left="0.22" right="0.21" top="0.16" bottom="0.22" header="0.16" footer="0.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57"/>
  <sheetViews>
    <sheetView topLeftCell="A34" workbookViewId="0">
      <selection activeCell="AB33" sqref="AB33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9" customWidth="1"/>
    <col min="6" max="6" width="9.140625" customWidth="1"/>
    <col min="7" max="7" width="11.140625" customWidth="1"/>
    <col min="8" max="8" width="10" customWidth="1"/>
    <col min="9" max="12" width="0" hidden="1" customWidth="1"/>
    <col min="13" max="13" width="9.7109375" hidden="1" customWidth="1"/>
    <col min="14" max="17" width="9.140625" hidden="1" customWidth="1"/>
    <col min="18" max="18" width="10.85546875" hidden="1" customWidth="1"/>
    <col min="19" max="19" width="9.140625" hidden="1" customWidth="1"/>
  </cols>
  <sheetData>
    <row r="1" spans="1:19" ht="15.75">
      <c r="A1" s="48" t="s">
        <v>0</v>
      </c>
      <c r="B1" s="48"/>
      <c r="C1" s="48"/>
      <c r="D1" s="48"/>
      <c r="E1" s="48"/>
    </row>
    <row r="2" spans="1:19" ht="15.75">
      <c r="A2" s="49" t="s">
        <v>1</v>
      </c>
      <c r="B2" s="49"/>
      <c r="C2" s="49"/>
      <c r="D2" s="49"/>
      <c r="E2" s="49"/>
    </row>
    <row r="3" spans="1:19">
      <c r="A3" s="1"/>
      <c r="B3" s="1"/>
      <c r="C3" s="1"/>
      <c r="D3" s="1"/>
      <c r="E3" s="2"/>
    </row>
    <row r="4" spans="1:19">
      <c r="A4" s="44" t="s">
        <v>2</v>
      </c>
      <c r="B4" s="1"/>
      <c r="C4" s="1"/>
      <c r="D4" s="50" t="s">
        <v>80</v>
      </c>
      <c r="E4" s="50"/>
    </row>
    <row r="5" spans="1:19">
      <c r="A5" s="1"/>
      <c r="B5" s="1"/>
      <c r="C5" s="1"/>
      <c r="D5" s="1"/>
      <c r="E5" s="2"/>
    </row>
    <row r="6" spans="1:19">
      <c r="A6" s="1"/>
      <c r="B6" s="1"/>
      <c r="C6" s="1"/>
      <c r="D6" s="1"/>
      <c r="E6" s="2"/>
    </row>
    <row r="7" spans="1:19" ht="93" customHeight="1">
      <c r="A7" s="51" t="s">
        <v>36</v>
      </c>
      <c r="B7" s="51"/>
      <c r="C7" s="51"/>
      <c r="D7" s="51"/>
      <c r="E7" s="51"/>
    </row>
    <row r="8" spans="1:19">
      <c r="A8" s="3"/>
      <c r="B8" s="3"/>
      <c r="C8" s="3"/>
      <c r="D8" s="3"/>
      <c r="E8" s="4"/>
    </row>
    <row r="9" spans="1:19" ht="45.75" customHeight="1">
      <c r="A9" s="51" t="s">
        <v>41</v>
      </c>
      <c r="B9" s="51"/>
      <c r="C9" s="51"/>
      <c r="D9" s="51"/>
      <c r="E9" s="51"/>
    </row>
    <row r="10" spans="1:19" ht="15.75" thickBot="1">
      <c r="A10" s="5"/>
      <c r="B10" s="5"/>
      <c r="C10" s="5"/>
      <c r="D10" s="5"/>
      <c r="E10" s="6"/>
      <c r="G10">
        <v>4657.7</v>
      </c>
    </row>
    <row r="11" spans="1:19" ht="75">
      <c r="A11" s="11" t="s">
        <v>3</v>
      </c>
      <c r="B11" s="12" t="s">
        <v>4</v>
      </c>
      <c r="C11" s="12" t="s">
        <v>5</v>
      </c>
      <c r="D11" s="13" t="s">
        <v>6</v>
      </c>
      <c r="E11" s="14" t="s">
        <v>7</v>
      </c>
    </row>
    <row r="12" spans="1:19" ht="45.75" customHeight="1">
      <c r="A12" s="15" t="s">
        <v>27</v>
      </c>
      <c r="B12" s="7" t="s">
        <v>8</v>
      </c>
      <c r="C12" s="7" t="s">
        <v>9</v>
      </c>
      <c r="D12" s="8" t="s">
        <v>56</v>
      </c>
      <c r="E12" s="16">
        <f>0.26*$G$10*1+0.65*G10*8</f>
        <v>25431.042000000001</v>
      </c>
    </row>
    <row r="13" spans="1:19" ht="54.75" customHeight="1">
      <c r="A13" s="17" t="s">
        <v>26</v>
      </c>
      <c r="B13" s="7" t="s">
        <v>8</v>
      </c>
      <c r="C13" s="7" t="s">
        <v>9</v>
      </c>
      <c r="D13" s="8" t="s">
        <v>57</v>
      </c>
      <c r="E13" s="16">
        <f>0.35*$G$10*1+0.69*G10*8</f>
        <v>27340.698999999997</v>
      </c>
    </row>
    <row r="14" spans="1:19" ht="38.25">
      <c r="A14" s="17" t="s">
        <v>25</v>
      </c>
      <c r="B14" s="7" t="s">
        <v>8</v>
      </c>
      <c r="C14" s="7" t="s">
        <v>9</v>
      </c>
      <c r="D14" s="8" t="s">
        <v>59</v>
      </c>
      <c r="E14" s="16">
        <f>0.6*$G$10*1+1.15*G10*8</f>
        <v>45645.46</v>
      </c>
    </row>
    <row r="15" spans="1:19">
      <c r="A15" s="18" t="s">
        <v>11</v>
      </c>
      <c r="B15" s="7" t="s">
        <v>32</v>
      </c>
      <c r="C15" s="7" t="s">
        <v>9</v>
      </c>
      <c r="D15" s="28" t="s">
        <v>61</v>
      </c>
      <c r="E15" s="30">
        <f>2365+1880</f>
        <v>4245</v>
      </c>
      <c r="G15" s="10"/>
      <c r="M15" s="40" t="s">
        <v>49</v>
      </c>
      <c r="N15" s="31">
        <f>0.03*12*G10</f>
        <v>1676.7719999999999</v>
      </c>
      <c r="O15" s="40" t="s">
        <v>50</v>
      </c>
      <c r="P15" s="32">
        <f>E15</f>
        <v>4245</v>
      </c>
      <c r="Q15" s="40" t="s">
        <v>51</v>
      </c>
      <c r="R15" s="31">
        <f>N15-P15</f>
        <v>-2568.2280000000001</v>
      </c>
      <c r="S15" s="40" t="s">
        <v>55</v>
      </c>
    </row>
    <row r="16" spans="1:19" ht="25.5">
      <c r="A16" s="18" t="s">
        <v>10</v>
      </c>
      <c r="B16" s="7" t="s">
        <v>32</v>
      </c>
      <c r="C16" s="7" t="s">
        <v>9</v>
      </c>
      <c r="D16" s="7" t="s">
        <v>62</v>
      </c>
      <c r="E16" s="16">
        <f>1.57*$G$10*1+2.56*8*G10</f>
        <v>102702.285</v>
      </c>
      <c r="M16" s="40"/>
      <c r="N16" s="31"/>
      <c r="O16" s="40"/>
      <c r="P16" s="31"/>
      <c r="Q16" s="40"/>
      <c r="R16" s="31"/>
      <c r="S16" s="31"/>
    </row>
    <row r="17" spans="1:20">
      <c r="A17" s="18" t="s">
        <v>28</v>
      </c>
      <c r="B17" s="7" t="s">
        <v>8</v>
      </c>
      <c r="C17" s="7" t="s">
        <v>9</v>
      </c>
      <c r="D17" s="8" t="s">
        <v>64</v>
      </c>
      <c r="E17" s="16">
        <f>2.1*$G$10*1+3.48*8*G10</f>
        <v>139451.538</v>
      </c>
      <c r="M17" s="40"/>
      <c r="N17" s="31"/>
      <c r="O17" s="40"/>
      <c r="P17" s="31"/>
      <c r="Q17" s="40"/>
      <c r="R17" s="31"/>
      <c r="S17" s="31"/>
    </row>
    <row r="18" spans="1:20" ht="21" customHeight="1">
      <c r="A18" s="17" t="s">
        <v>29</v>
      </c>
      <c r="B18" s="7" t="s">
        <v>32</v>
      </c>
      <c r="C18" s="7" t="s">
        <v>9</v>
      </c>
      <c r="D18" s="8" t="s">
        <v>63</v>
      </c>
      <c r="E18" s="16">
        <f>1.04*$G$10*1+1.93*8*G10</f>
        <v>76758.895999999993</v>
      </c>
      <c r="M18" s="40"/>
      <c r="N18" s="31"/>
      <c r="O18" s="40"/>
      <c r="P18" s="31"/>
      <c r="Q18" s="40"/>
      <c r="R18" s="31"/>
      <c r="S18" s="31"/>
    </row>
    <row r="19" spans="1:20" ht="25.5">
      <c r="A19" s="18" t="s">
        <v>12</v>
      </c>
      <c r="B19" s="7" t="s">
        <v>13</v>
      </c>
      <c r="C19" s="7" t="s">
        <v>9</v>
      </c>
      <c r="D19" s="8">
        <v>0.98</v>
      </c>
      <c r="E19" s="16">
        <f>D19*$G$10*9</f>
        <v>41080.913999999997</v>
      </c>
      <c r="M19" s="34"/>
      <c r="N19" s="31"/>
      <c r="O19" s="40"/>
      <c r="P19" s="31"/>
      <c r="Q19" s="40"/>
      <c r="R19" s="31"/>
      <c r="S19" s="31"/>
    </row>
    <row r="20" spans="1:20" ht="38.25">
      <c r="A20" s="18" t="s">
        <v>37</v>
      </c>
      <c r="B20" s="7" t="s">
        <v>13</v>
      </c>
      <c r="C20" s="7" t="s">
        <v>9</v>
      </c>
      <c r="D20" s="26" t="s">
        <v>58</v>
      </c>
      <c r="E20" s="30">
        <f>1.75*1*G10+1.93*8*G10</f>
        <v>80065.862999999998</v>
      </c>
      <c r="M20" s="40" t="s">
        <v>49</v>
      </c>
      <c r="N20" s="31">
        <f>1.75*12*G10</f>
        <v>97811.7</v>
      </c>
      <c r="O20" s="40" t="s">
        <v>50</v>
      </c>
      <c r="P20" s="33">
        <f>E20</f>
        <v>80065.862999999998</v>
      </c>
      <c r="Q20" s="40" t="s">
        <v>51</v>
      </c>
      <c r="R20" s="32">
        <f>N20-P20</f>
        <v>17745.837</v>
      </c>
      <c r="S20" s="40" t="s">
        <v>54</v>
      </c>
    </row>
    <row r="21" spans="1:20" ht="25.5">
      <c r="A21" s="18" t="s">
        <v>38</v>
      </c>
      <c r="B21" s="7" t="s">
        <v>32</v>
      </c>
      <c r="C21" s="7" t="s">
        <v>9</v>
      </c>
      <c r="D21" s="26" t="s">
        <v>60</v>
      </c>
      <c r="E21" s="30">
        <f>0.27*1*G10+1.09*8*G10</f>
        <v>41872.722999999998</v>
      </c>
      <c r="G21" s="10"/>
      <c r="M21" s="40" t="s">
        <v>49</v>
      </c>
      <c r="N21" s="31">
        <f>0.27*12*G10</f>
        <v>15090.948</v>
      </c>
      <c r="O21" s="40" t="s">
        <v>50</v>
      </c>
      <c r="P21" s="32">
        <f>E21</f>
        <v>41872.722999999998</v>
      </c>
      <c r="Q21" s="40" t="s">
        <v>51</v>
      </c>
      <c r="R21" s="32">
        <f>N21-P21</f>
        <v>-26781.774999999998</v>
      </c>
      <c r="S21" s="40" t="s">
        <v>53</v>
      </c>
    </row>
    <row r="22" spans="1:20" ht="25.5">
      <c r="A22" s="18" t="s">
        <v>14</v>
      </c>
      <c r="B22" s="7" t="s">
        <v>13</v>
      </c>
      <c r="C22" s="7" t="s">
        <v>9</v>
      </c>
      <c r="D22" s="7">
        <v>0.35</v>
      </c>
      <c r="E22" s="16">
        <f>D22*$G$10*9</f>
        <v>14671.754999999999</v>
      </c>
      <c r="M22" s="40"/>
      <c r="N22" s="31"/>
      <c r="O22" s="40"/>
      <c r="P22" s="31"/>
      <c r="Q22" s="40"/>
      <c r="R22" s="31"/>
      <c r="S22" s="40"/>
    </row>
    <row r="23" spans="1:20" ht="25.5">
      <c r="A23" s="18" t="s">
        <v>15</v>
      </c>
      <c r="B23" s="7" t="s">
        <v>8</v>
      </c>
      <c r="C23" s="7" t="s">
        <v>9</v>
      </c>
      <c r="D23" s="7">
        <v>0.98</v>
      </c>
      <c r="E23" s="16">
        <f t="shared" ref="E23:E24" si="0">D23*$G$10*9</f>
        <v>41080.913999999997</v>
      </c>
      <c r="K23">
        <f>D23*6*G10</f>
        <v>27387.275999999998</v>
      </c>
      <c r="L23" t="s">
        <v>42</v>
      </c>
      <c r="M23" s="41" t="s">
        <v>49</v>
      </c>
      <c r="N23" s="31">
        <f>0.98*12*G10</f>
        <v>54774.551999999996</v>
      </c>
      <c r="O23" s="40" t="s">
        <v>50</v>
      </c>
      <c r="P23" s="31">
        <f>14464</f>
        <v>14464</v>
      </c>
      <c r="Q23" s="40" t="s">
        <v>51</v>
      </c>
      <c r="R23" s="31">
        <f>N23-P23</f>
        <v>40310.551999999996</v>
      </c>
      <c r="S23" s="40" t="s">
        <v>42</v>
      </c>
    </row>
    <row r="24" spans="1:20">
      <c r="A24" s="17" t="s">
        <v>30</v>
      </c>
      <c r="B24" s="7" t="s">
        <v>8</v>
      </c>
      <c r="C24" s="7" t="s">
        <v>9</v>
      </c>
      <c r="D24" s="7">
        <v>3</v>
      </c>
      <c r="E24" s="16">
        <f t="shared" si="0"/>
        <v>125757.9</v>
      </c>
      <c r="G24" s="10"/>
      <c r="H24" s="10"/>
      <c r="K24" s="10">
        <f>K23-E19</f>
        <v>-13693.637999999999</v>
      </c>
      <c r="M24" s="40"/>
      <c r="N24" s="31"/>
      <c r="O24" s="31"/>
      <c r="P24" s="31"/>
      <c r="Q24" s="31"/>
      <c r="R24" s="31"/>
      <c r="S24" s="31"/>
    </row>
    <row r="25" spans="1:20" ht="26.25" thickBot="1">
      <c r="A25" s="17" t="s">
        <v>31</v>
      </c>
      <c r="B25" s="7" t="s">
        <v>8</v>
      </c>
      <c r="C25" s="7" t="s">
        <v>9</v>
      </c>
      <c r="D25" s="7">
        <v>0.14000000000000001</v>
      </c>
      <c r="E25" s="43">
        <v>47042</v>
      </c>
      <c r="G25" s="10"/>
      <c r="H25" s="10"/>
      <c r="M25" s="31"/>
      <c r="N25" s="31"/>
      <c r="O25" s="31"/>
      <c r="P25" s="31"/>
      <c r="Q25" s="31"/>
      <c r="R25" s="36"/>
      <c r="S25" s="36"/>
    </row>
    <row r="26" spans="1:20">
      <c r="A26" s="17" t="s">
        <v>39</v>
      </c>
      <c r="B26" s="7" t="s">
        <v>32</v>
      </c>
      <c r="C26" s="7" t="s">
        <v>9</v>
      </c>
      <c r="D26" s="7" t="s">
        <v>65</v>
      </c>
      <c r="E26" s="16">
        <f>1*$G$10*1+2.96*8*G10</f>
        <v>114952.03599999999</v>
      </c>
      <c r="G26" s="10"/>
      <c r="H26" s="10"/>
      <c r="M26" s="31"/>
      <c r="N26" s="31"/>
      <c r="O26" s="31"/>
      <c r="P26" s="31"/>
      <c r="Q26" s="35"/>
      <c r="R26" s="38">
        <f>R23-3874.62-26055.61-3319.028</f>
        <v>7061.2939999999926</v>
      </c>
      <c r="S26" s="39"/>
      <c r="T26" s="29"/>
    </row>
    <row r="27" spans="1:20" ht="15.75" thickBot="1">
      <c r="A27" s="25" t="s">
        <v>34</v>
      </c>
      <c r="B27" s="23" t="s">
        <v>45</v>
      </c>
      <c r="C27" s="23" t="s">
        <v>35</v>
      </c>
      <c r="D27" s="23" t="s">
        <v>46</v>
      </c>
      <c r="E27" s="24">
        <v>63122.34</v>
      </c>
      <c r="G27" s="10"/>
      <c r="H27" s="10"/>
      <c r="M27" s="31"/>
      <c r="N27" s="31"/>
      <c r="O27" s="31"/>
      <c r="P27" s="31"/>
      <c r="Q27" s="35"/>
      <c r="R27" s="46" t="s">
        <v>52</v>
      </c>
      <c r="S27" s="47"/>
    </row>
    <row r="28" spans="1:20">
      <c r="A28" s="17" t="s">
        <v>40</v>
      </c>
      <c r="B28" s="23" t="s">
        <v>45</v>
      </c>
      <c r="C28" s="23" t="s">
        <v>35</v>
      </c>
      <c r="D28" s="23" t="s">
        <v>46</v>
      </c>
      <c r="E28" s="24">
        <v>56969.64</v>
      </c>
      <c r="G28" s="10"/>
      <c r="H28" s="10"/>
      <c r="M28" s="31"/>
      <c r="N28" s="31"/>
      <c r="O28" s="31"/>
      <c r="P28" s="31"/>
      <c r="Q28" s="31"/>
      <c r="R28" s="37"/>
      <c r="S28" s="37"/>
    </row>
    <row r="29" spans="1:20">
      <c r="A29" s="25" t="s">
        <v>66</v>
      </c>
      <c r="B29" s="23" t="s">
        <v>67</v>
      </c>
      <c r="C29" s="23" t="s">
        <v>35</v>
      </c>
      <c r="D29" s="23" t="s">
        <v>47</v>
      </c>
      <c r="E29" s="24">
        <v>5500</v>
      </c>
      <c r="G29" s="10"/>
      <c r="H29" s="10"/>
      <c r="M29" s="31"/>
      <c r="N29" s="31"/>
      <c r="O29" s="31"/>
      <c r="P29" s="31"/>
      <c r="Q29" s="31"/>
      <c r="R29" s="31"/>
      <c r="S29" s="31"/>
    </row>
    <row r="30" spans="1:20">
      <c r="A30" s="25" t="s">
        <v>68</v>
      </c>
      <c r="B30" s="23" t="s">
        <v>69</v>
      </c>
      <c r="C30" s="23" t="s">
        <v>35</v>
      </c>
      <c r="D30" s="23" t="s">
        <v>47</v>
      </c>
      <c r="E30" s="24">
        <v>7023</v>
      </c>
      <c r="G30" s="10"/>
      <c r="H30" s="10"/>
    </row>
    <row r="31" spans="1:20" ht="15" customHeight="1">
      <c r="A31" s="25" t="s">
        <v>70</v>
      </c>
      <c r="B31" s="23" t="s">
        <v>69</v>
      </c>
      <c r="C31" s="23" t="s">
        <v>35</v>
      </c>
      <c r="D31" s="23" t="s">
        <v>47</v>
      </c>
      <c r="E31" s="24">
        <v>600</v>
      </c>
      <c r="G31" s="10"/>
      <c r="H31" s="10"/>
    </row>
    <row r="32" spans="1:20" ht="15" customHeight="1">
      <c r="A32" s="25" t="s">
        <v>84</v>
      </c>
      <c r="B32" s="23" t="s">
        <v>69</v>
      </c>
      <c r="C32" s="23" t="s">
        <v>35</v>
      </c>
      <c r="D32" s="23" t="s">
        <v>47</v>
      </c>
      <c r="E32" s="24">
        <v>8856.9500000000007</v>
      </c>
      <c r="G32" s="10"/>
      <c r="H32" s="10"/>
    </row>
    <row r="33" spans="1:8" ht="39" customHeight="1">
      <c r="A33" s="25" t="s">
        <v>71</v>
      </c>
      <c r="B33" s="23" t="s">
        <v>72</v>
      </c>
      <c r="C33" s="23" t="s">
        <v>35</v>
      </c>
      <c r="D33" s="23" t="s">
        <v>73</v>
      </c>
      <c r="E33" s="24">
        <v>40429</v>
      </c>
      <c r="G33" s="10"/>
      <c r="H33" s="10"/>
    </row>
    <row r="34" spans="1:8">
      <c r="A34" s="25" t="s">
        <v>82</v>
      </c>
      <c r="B34" s="23" t="s">
        <v>83</v>
      </c>
      <c r="C34" s="23" t="s">
        <v>35</v>
      </c>
      <c r="D34" s="23" t="s">
        <v>47</v>
      </c>
      <c r="E34" s="24">
        <v>1466</v>
      </c>
      <c r="G34" s="10"/>
      <c r="H34" s="10"/>
    </row>
    <row r="35" spans="1:8" ht="25.5">
      <c r="A35" s="25" t="s">
        <v>86</v>
      </c>
      <c r="B35" s="23" t="s">
        <v>85</v>
      </c>
      <c r="C35" s="23" t="s">
        <v>35</v>
      </c>
      <c r="D35" s="23" t="s">
        <v>47</v>
      </c>
      <c r="E35" s="24">
        <v>45000</v>
      </c>
      <c r="G35" s="10"/>
      <c r="H35" s="10"/>
    </row>
    <row r="36" spans="1:8" ht="19.5" thickBot="1">
      <c r="A36" s="19" t="s">
        <v>16</v>
      </c>
      <c r="B36" s="20"/>
      <c r="C36" s="20"/>
      <c r="D36" s="21"/>
      <c r="E36" s="22">
        <f>SUM(E12:E35)</f>
        <v>1157065.9549999998</v>
      </c>
      <c r="G36" s="10"/>
      <c r="H36" s="10"/>
    </row>
    <row r="37" spans="1:8">
      <c r="A37" s="5"/>
      <c r="B37" s="5"/>
      <c r="C37" s="5"/>
      <c r="D37" s="5"/>
      <c r="E37" s="6"/>
    </row>
    <row r="38" spans="1:8" ht="33" customHeight="1">
      <c r="A38" s="51" t="s">
        <v>87</v>
      </c>
      <c r="B38" s="51"/>
      <c r="C38" s="51"/>
      <c r="D38" s="51"/>
      <c r="E38" s="51"/>
    </row>
    <row r="39" spans="1:8">
      <c r="A39" s="5"/>
      <c r="B39" s="5"/>
      <c r="C39" s="5"/>
      <c r="D39" s="5"/>
      <c r="E39" s="6"/>
    </row>
    <row r="40" spans="1:8" ht="15" customHeight="1">
      <c r="A40" s="51" t="s">
        <v>43</v>
      </c>
      <c r="B40" s="51"/>
      <c r="C40" s="51"/>
      <c r="D40" s="51"/>
      <c r="E40" s="51"/>
    </row>
    <row r="41" spans="1:8">
      <c r="A41" s="5"/>
      <c r="B41" s="5"/>
      <c r="C41" s="5"/>
      <c r="D41" s="5"/>
      <c r="E41" s="6"/>
    </row>
    <row r="42" spans="1:8">
      <c r="A42" s="53" t="s">
        <v>44</v>
      </c>
      <c r="B42" s="53"/>
      <c r="C42" s="53"/>
      <c r="D42" s="53"/>
      <c r="E42" s="53"/>
    </row>
    <row r="43" spans="1:8">
      <c r="A43" s="5"/>
      <c r="B43" s="5"/>
      <c r="C43" s="5"/>
      <c r="D43" s="5"/>
      <c r="E43" s="6"/>
    </row>
    <row r="44" spans="1:8" ht="33" customHeight="1">
      <c r="A44" s="51" t="s">
        <v>17</v>
      </c>
      <c r="B44" s="51"/>
      <c r="C44" s="51"/>
      <c r="D44" s="51"/>
      <c r="E44" s="51"/>
    </row>
    <row r="45" spans="1:8">
      <c r="A45" s="5"/>
      <c r="B45" s="5"/>
      <c r="C45" s="5"/>
      <c r="D45" s="5"/>
      <c r="E45" s="6"/>
    </row>
    <row r="46" spans="1:8">
      <c r="A46" s="5"/>
      <c r="B46" s="5"/>
      <c r="C46" s="5"/>
      <c r="D46" s="5"/>
      <c r="E46" s="6"/>
    </row>
    <row r="47" spans="1:8">
      <c r="A47" s="54" t="s">
        <v>18</v>
      </c>
      <c r="B47" s="54"/>
      <c r="C47" s="54"/>
      <c r="D47" s="54"/>
      <c r="E47" s="54"/>
    </row>
    <row r="48" spans="1:8">
      <c r="A48" s="5"/>
      <c r="B48" s="5"/>
      <c r="C48" s="5"/>
      <c r="D48" s="5"/>
      <c r="E48" s="6"/>
    </row>
    <row r="49" spans="1:5">
      <c r="A49" s="5" t="s">
        <v>75</v>
      </c>
      <c r="B49" s="5" t="s">
        <v>76</v>
      </c>
      <c r="C49" s="5"/>
      <c r="D49" s="5"/>
      <c r="E49" s="6" t="s">
        <v>21</v>
      </c>
    </row>
    <row r="50" spans="1:5">
      <c r="A50" s="5"/>
      <c r="B50" s="5"/>
      <c r="C50" s="5"/>
      <c r="D50" s="5"/>
      <c r="E50" s="6" t="s">
        <v>23</v>
      </c>
    </row>
    <row r="51" spans="1:5">
      <c r="A51" s="5"/>
      <c r="B51" s="5"/>
      <c r="C51" s="5"/>
      <c r="D51" s="5"/>
      <c r="E51" s="6"/>
    </row>
    <row r="52" spans="1:5">
      <c r="A52" s="5" t="s">
        <v>19</v>
      </c>
      <c r="B52" s="5" t="s">
        <v>33</v>
      </c>
      <c r="C52" s="5"/>
      <c r="D52" s="5"/>
    </row>
    <row r="53" spans="1:5">
      <c r="A53" s="5"/>
      <c r="B53" s="53" t="s">
        <v>81</v>
      </c>
      <c r="C53" s="53"/>
      <c r="D53" s="53"/>
      <c r="E53" s="6" t="s">
        <v>21</v>
      </c>
    </row>
    <row r="54" spans="1:5">
      <c r="A54" s="5"/>
      <c r="B54" s="5"/>
      <c r="C54" s="5"/>
      <c r="D54" s="5"/>
      <c r="E54" s="6" t="s">
        <v>23</v>
      </c>
    </row>
    <row r="55" spans="1:5">
      <c r="A55" s="5"/>
      <c r="B55" s="5"/>
      <c r="C55" s="5"/>
      <c r="D55" s="5"/>
      <c r="E55" s="6"/>
    </row>
    <row r="56" spans="1:5">
      <c r="A56" s="5" t="s">
        <v>24</v>
      </c>
      <c r="B56" s="5" t="s">
        <v>20</v>
      </c>
      <c r="C56" s="5"/>
      <c r="D56" s="5"/>
      <c r="E56" s="6" t="s">
        <v>21</v>
      </c>
    </row>
    <row r="57" spans="1:5">
      <c r="A57" s="5"/>
      <c r="B57" s="52" t="s">
        <v>22</v>
      </c>
      <c r="C57" s="52"/>
      <c r="D57" s="52"/>
      <c r="E57" s="6" t="s">
        <v>23</v>
      </c>
    </row>
  </sheetData>
  <mergeCells count="13">
    <mergeCell ref="R27:S27"/>
    <mergeCell ref="A1:E1"/>
    <mergeCell ref="A2:E2"/>
    <mergeCell ref="D4:E4"/>
    <mergeCell ref="A7:E7"/>
    <mergeCell ref="A9:E9"/>
    <mergeCell ref="B57:D57"/>
    <mergeCell ref="A38:E38"/>
    <mergeCell ref="A40:E40"/>
    <mergeCell ref="A42:E42"/>
    <mergeCell ref="A44:E44"/>
    <mergeCell ref="A47:E47"/>
    <mergeCell ref="B53:D53"/>
  </mergeCells>
  <pageMargins left="0.22" right="0.21" top="0.16" bottom="0.22" header="0.16" footer="0.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54"/>
  <sheetViews>
    <sheetView topLeftCell="A8" workbookViewId="0">
      <selection activeCell="F37" sqref="F37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9" customWidth="1"/>
    <col min="6" max="6" width="9.140625" customWidth="1"/>
    <col min="7" max="7" width="11.140625" customWidth="1"/>
    <col min="8" max="8" width="10" customWidth="1"/>
    <col min="9" max="12" width="0" hidden="1" customWidth="1"/>
    <col min="13" max="13" width="9.7109375" hidden="1" customWidth="1"/>
    <col min="14" max="17" width="9.140625" hidden="1" customWidth="1"/>
    <col min="18" max="18" width="10.85546875" hidden="1" customWidth="1"/>
    <col min="19" max="19" width="9.140625" hidden="1" customWidth="1"/>
  </cols>
  <sheetData>
    <row r="1" spans="1:19" ht="15.75">
      <c r="A1" s="48" t="s">
        <v>0</v>
      </c>
      <c r="B1" s="48"/>
      <c r="C1" s="48"/>
      <c r="D1" s="48"/>
      <c r="E1" s="48"/>
    </row>
    <row r="2" spans="1:19" ht="15.75">
      <c r="A2" s="49" t="s">
        <v>1</v>
      </c>
      <c r="B2" s="49"/>
      <c r="C2" s="49"/>
      <c r="D2" s="49"/>
      <c r="E2" s="49"/>
    </row>
    <row r="3" spans="1:19">
      <c r="A3" s="1"/>
      <c r="B3" s="1"/>
      <c r="C3" s="1"/>
      <c r="D3" s="1"/>
      <c r="E3" s="2"/>
    </row>
    <row r="4" spans="1:19">
      <c r="A4" s="42" t="s">
        <v>2</v>
      </c>
      <c r="B4" s="1"/>
      <c r="C4" s="1"/>
      <c r="D4" s="50" t="s">
        <v>78</v>
      </c>
      <c r="E4" s="50"/>
    </row>
    <row r="5" spans="1:19">
      <c r="A5" s="1"/>
      <c r="B5" s="1"/>
      <c r="C5" s="1"/>
      <c r="D5" s="1"/>
      <c r="E5" s="2"/>
    </row>
    <row r="6" spans="1:19">
      <c r="A6" s="1"/>
      <c r="B6" s="1"/>
      <c r="C6" s="1"/>
      <c r="D6" s="1"/>
      <c r="E6" s="2"/>
    </row>
    <row r="7" spans="1:19" ht="93" customHeight="1">
      <c r="A7" s="51" t="s">
        <v>36</v>
      </c>
      <c r="B7" s="51"/>
      <c r="C7" s="51"/>
      <c r="D7" s="51"/>
      <c r="E7" s="51"/>
    </row>
    <row r="8" spans="1:19">
      <c r="A8" s="3"/>
      <c r="B8" s="3"/>
      <c r="C8" s="3"/>
      <c r="D8" s="3"/>
      <c r="E8" s="4"/>
    </row>
    <row r="9" spans="1:19" ht="45.75" customHeight="1">
      <c r="A9" s="51" t="s">
        <v>41</v>
      </c>
      <c r="B9" s="51"/>
      <c r="C9" s="51"/>
      <c r="D9" s="51"/>
      <c r="E9" s="51"/>
    </row>
    <row r="10" spans="1:19" ht="15.75" thickBot="1">
      <c r="A10" s="5"/>
      <c r="B10" s="5"/>
      <c r="C10" s="5"/>
      <c r="D10" s="5"/>
      <c r="E10" s="6"/>
      <c r="G10">
        <v>4657.7</v>
      </c>
    </row>
    <row r="11" spans="1:19" ht="75">
      <c r="A11" s="11" t="s">
        <v>3</v>
      </c>
      <c r="B11" s="12" t="s">
        <v>4</v>
      </c>
      <c r="C11" s="12" t="s">
        <v>5</v>
      </c>
      <c r="D11" s="13" t="s">
        <v>6</v>
      </c>
      <c r="E11" s="14" t="s">
        <v>7</v>
      </c>
    </row>
    <row r="12" spans="1:19" ht="45.75" customHeight="1">
      <c r="A12" s="15" t="s">
        <v>27</v>
      </c>
      <c r="B12" s="7" t="s">
        <v>8</v>
      </c>
      <c r="C12" s="7" t="s">
        <v>9</v>
      </c>
      <c r="D12" s="8" t="s">
        <v>56</v>
      </c>
      <c r="E12" s="16">
        <f>0.26*$G$10*1+0.65*G10*5</f>
        <v>16348.527000000002</v>
      </c>
    </row>
    <row r="13" spans="1:19" ht="54.75" customHeight="1">
      <c r="A13" s="17" t="s">
        <v>26</v>
      </c>
      <c r="B13" s="7" t="s">
        <v>8</v>
      </c>
      <c r="C13" s="7" t="s">
        <v>9</v>
      </c>
      <c r="D13" s="8" t="s">
        <v>57</v>
      </c>
      <c r="E13" s="16">
        <f>0.35*$G$10*1+0.69*G10*5</f>
        <v>17699.259999999998</v>
      </c>
    </row>
    <row r="14" spans="1:19" ht="38.25">
      <c r="A14" s="17" t="s">
        <v>25</v>
      </c>
      <c r="B14" s="7" t="s">
        <v>8</v>
      </c>
      <c r="C14" s="7" t="s">
        <v>9</v>
      </c>
      <c r="D14" s="8" t="s">
        <v>59</v>
      </c>
      <c r="E14" s="16">
        <f>0.6*$G$10*1+1.15*G10*5</f>
        <v>29576.394999999997</v>
      </c>
    </row>
    <row r="15" spans="1:19">
      <c r="A15" s="18" t="s">
        <v>11</v>
      </c>
      <c r="B15" s="7" t="s">
        <v>32</v>
      </c>
      <c r="C15" s="7" t="s">
        <v>9</v>
      </c>
      <c r="D15" s="28" t="s">
        <v>61</v>
      </c>
      <c r="E15" s="30">
        <v>3775</v>
      </c>
      <c r="G15" s="10"/>
      <c r="M15" s="40" t="s">
        <v>49</v>
      </c>
      <c r="N15" s="31">
        <f>0.03*12*G10</f>
        <v>1676.7719999999999</v>
      </c>
      <c r="O15" s="40" t="s">
        <v>50</v>
      </c>
      <c r="P15" s="32">
        <f>E15</f>
        <v>3775</v>
      </c>
      <c r="Q15" s="40" t="s">
        <v>51</v>
      </c>
      <c r="R15" s="31">
        <f>N15-P15</f>
        <v>-2098.2280000000001</v>
      </c>
      <c r="S15" s="40" t="s">
        <v>55</v>
      </c>
    </row>
    <row r="16" spans="1:19" ht="25.5">
      <c r="A16" s="18" t="s">
        <v>10</v>
      </c>
      <c r="B16" s="7" t="s">
        <v>32</v>
      </c>
      <c r="C16" s="7" t="s">
        <v>9</v>
      </c>
      <c r="D16" s="7" t="s">
        <v>62</v>
      </c>
      <c r="E16" s="16">
        <f>1.57*$G$10*1+2.56*5*G10</f>
        <v>66931.149000000005</v>
      </c>
      <c r="M16" s="40"/>
      <c r="N16" s="31"/>
      <c r="O16" s="40"/>
      <c r="P16" s="31"/>
      <c r="Q16" s="40"/>
      <c r="R16" s="31"/>
      <c r="S16" s="31"/>
    </row>
    <row r="17" spans="1:20">
      <c r="A17" s="18" t="s">
        <v>28</v>
      </c>
      <c r="B17" s="7" t="s">
        <v>8</v>
      </c>
      <c r="C17" s="7" t="s">
        <v>9</v>
      </c>
      <c r="D17" s="8" t="s">
        <v>64</v>
      </c>
      <c r="E17" s="16">
        <f>2.1*$G$10*1+3.48*5*G10</f>
        <v>90825.15</v>
      </c>
      <c r="M17" s="40"/>
      <c r="N17" s="31"/>
      <c r="O17" s="40"/>
      <c r="P17" s="31"/>
      <c r="Q17" s="40"/>
      <c r="R17" s="31"/>
      <c r="S17" s="31"/>
    </row>
    <row r="18" spans="1:20" ht="21" customHeight="1">
      <c r="A18" s="17" t="s">
        <v>29</v>
      </c>
      <c r="B18" s="7" t="s">
        <v>32</v>
      </c>
      <c r="C18" s="7" t="s">
        <v>9</v>
      </c>
      <c r="D18" s="8" t="s">
        <v>63</v>
      </c>
      <c r="E18" s="16">
        <f>1.04*$G$10*1+1.93*5*G10</f>
        <v>49790.813000000002</v>
      </c>
      <c r="M18" s="40"/>
      <c r="N18" s="31"/>
      <c r="O18" s="40"/>
      <c r="P18" s="31"/>
      <c r="Q18" s="40"/>
      <c r="R18" s="31"/>
      <c r="S18" s="31"/>
    </row>
    <row r="19" spans="1:20" ht="25.5">
      <c r="A19" s="18" t="s">
        <v>12</v>
      </c>
      <c r="B19" s="7" t="s">
        <v>13</v>
      </c>
      <c r="C19" s="7" t="s">
        <v>9</v>
      </c>
      <c r="D19" s="8">
        <v>0.98</v>
      </c>
      <c r="E19" s="16">
        <f>D19*$G$10*6</f>
        <v>27387.275999999998</v>
      </c>
      <c r="M19" s="34"/>
      <c r="N19" s="31"/>
      <c r="O19" s="40"/>
      <c r="P19" s="31"/>
      <c r="Q19" s="40"/>
      <c r="R19" s="31"/>
      <c r="S19" s="31"/>
    </row>
    <row r="20" spans="1:20" ht="38.25">
      <c r="A20" s="18" t="s">
        <v>37</v>
      </c>
      <c r="B20" s="7" t="s">
        <v>13</v>
      </c>
      <c r="C20" s="7" t="s">
        <v>9</v>
      </c>
      <c r="D20" s="26" t="s">
        <v>58</v>
      </c>
      <c r="E20" s="30">
        <f>1.75*1*G10+1.93*5*G10</f>
        <v>53097.78</v>
      </c>
      <c r="M20" s="40" t="s">
        <v>49</v>
      </c>
      <c r="N20" s="31">
        <f>1.75*12*G10</f>
        <v>97811.7</v>
      </c>
      <c r="O20" s="40" t="s">
        <v>50</v>
      </c>
      <c r="P20" s="33">
        <f>E20</f>
        <v>53097.78</v>
      </c>
      <c r="Q20" s="40" t="s">
        <v>51</v>
      </c>
      <c r="R20" s="32">
        <f>N20-P20</f>
        <v>44713.919999999998</v>
      </c>
      <c r="S20" s="40" t="s">
        <v>54</v>
      </c>
    </row>
    <row r="21" spans="1:20" ht="25.5">
      <c r="A21" s="18" t="s">
        <v>38</v>
      </c>
      <c r="B21" s="7" t="s">
        <v>32</v>
      </c>
      <c r="C21" s="7" t="s">
        <v>9</v>
      </c>
      <c r="D21" s="26" t="s">
        <v>60</v>
      </c>
      <c r="E21" s="30">
        <f>0.27*1*G10+1.09*5*G10</f>
        <v>26642.044000000002</v>
      </c>
      <c r="G21" s="10"/>
      <c r="M21" s="40" t="s">
        <v>49</v>
      </c>
      <c r="N21" s="31">
        <f>0.27*12*G10</f>
        <v>15090.948</v>
      </c>
      <c r="O21" s="40" t="s">
        <v>50</v>
      </c>
      <c r="P21" s="32">
        <f>E21</f>
        <v>26642.044000000002</v>
      </c>
      <c r="Q21" s="40" t="s">
        <v>51</v>
      </c>
      <c r="R21" s="32">
        <f>N21-P21</f>
        <v>-11551.096000000001</v>
      </c>
      <c r="S21" s="40" t="s">
        <v>53</v>
      </c>
    </row>
    <row r="22" spans="1:20" ht="25.5">
      <c r="A22" s="18" t="s">
        <v>14</v>
      </c>
      <c r="B22" s="7" t="s">
        <v>13</v>
      </c>
      <c r="C22" s="7" t="s">
        <v>9</v>
      </c>
      <c r="D22" s="7">
        <v>0.35</v>
      </c>
      <c r="E22" s="16">
        <f>D22*$G$10*6</f>
        <v>9781.17</v>
      </c>
      <c r="M22" s="40"/>
      <c r="N22" s="31"/>
      <c r="O22" s="40"/>
      <c r="P22" s="31"/>
      <c r="Q22" s="40"/>
      <c r="R22" s="31"/>
      <c r="S22" s="40"/>
    </row>
    <row r="23" spans="1:20" ht="25.5">
      <c r="A23" s="18" t="s">
        <v>15</v>
      </c>
      <c r="B23" s="7" t="s">
        <v>8</v>
      </c>
      <c r="C23" s="7" t="s">
        <v>9</v>
      </c>
      <c r="D23" s="7">
        <v>0.98</v>
      </c>
      <c r="E23" s="16">
        <f>D23*$G$10*6</f>
        <v>27387.275999999998</v>
      </c>
      <c r="K23">
        <f>D23*6*G10</f>
        <v>27387.275999999998</v>
      </c>
      <c r="L23" t="s">
        <v>42</v>
      </c>
      <c r="M23" s="41" t="s">
        <v>49</v>
      </c>
      <c r="N23" s="31">
        <f>0.98*12*G10</f>
        <v>54774.551999999996</v>
      </c>
      <c r="O23" s="40" t="s">
        <v>50</v>
      </c>
      <c r="P23" s="31">
        <f>14464</f>
        <v>14464</v>
      </c>
      <c r="Q23" s="40" t="s">
        <v>51</v>
      </c>
      <c r="R23" s="31">
        <f>N23-P23</f>
        <v>40310.551999999996</v>
      </c>
      <c r="S23" s="40" t="s">
        <v>42</v>
      </c>
    </row>
    <row r="24" spans="1:20">
      <c r="A24" s="17" t="s">
        <v>30</v>
      </c>
      <c r="B24" s="7" t="s">
        <v>8</v>
      </c>
      <c r="C24" s="7" t="s">
        <v>9</v>
      </c>
      <c r="D24" s="7">
        <v>3</v>
      </c>
      <c r="E24" s="16">
        <f>D24*$G$10*6</f>
        <v>83838.599999999991</v>
      </c>
      <c r="G24" s="10"/>
      <c r="H24" s="10"/>
      <c r="K24" s="10">
        <f>K23-E19</f>
        <v>0</v>
      </c>
      <c r="M24" s="40"/>
      <c r="N24" s="31"/>
      <c r="O24" s="31"/>
      <c r="P24" s="31"/>
      <c r="Q24" s="31"/>
      <c r="R24" s="31"/>
      <c r="S24" s="31"/>
    </row>
    <row r="25" spans="1:20" ht="26.25" thickBot="1">
      <c r="A25" s="17" t="s">
        <v>31</v>
      </c>
      <c r="B25" s="7" t="s">
        <v>8</v>
      </c>
      <c r="C25" s="7" t="s">
        <v>9</v>
      </c>
      <c r="D25" s="7">
        <v>0.14000000000000001</v>
      </c>
      <c r="E25" s="43">
        <v>47042</v>
      </c>
      <c r="G25" s="10"/>
      <c r="H25" s="10"/>
      <c r="M25" s="31"/>
      <c r="N25" s="31"/>
      <c r="O25" s="31"/>
      <c r="P25" s="31"/>
      <c r="Q25" s="31"/>
      <c r="R25" s="36"/>
      <c r="S25" s="36"/>
    </row>
    <row r="26" spans="1:20">
      <c r="A26" s="17" t="s">
        <v>39</v>
      </c>
      <c r="B26" s="7" t="s">
        <v>32</v>
      </c>
      <c r="C26" s="7" t="s">
        <v>9</v>
      </c>
      <c r="D26" s="7" t="s">
        <v>65</v>
      </c>
      <c r="E26" s="16">
        <f>1*$G$10*1+2.96*5*G10</f>
        <v>73591.66</v>
      </c>
      <c r="G26" s="10"/>
      <c r="H26" s="10"/>
      <c r="M26" s="31"/>
      <c r="N26" s="31"/>
      <c r="O26" s="31"/>
      <c r="P26" s="31"/>
      <c r="Q26" s="35"/>
      <c r="R26" s="38">
        <f>R23-3874.62-26055.61-3319.028</f>
        <v>7061.2939999999926</v>
      </c>
      <c r="S26" s="39"/>
      <c r="T26" s="29"/>
    </row>
    <row r="27" spans="1:20" ht="15.75" thickBot="1">
      <c r="A27" s="25" t="s">
        <v>34</v>
      </c>
      <c r="B27" s="23" t="s">
        <v>45</v>
      </c>
      <c r="C27" s="23" t="s">
        <v>35</v>
      </c>
      <c r="D27" s="23" t="s">
        <v>46</v>
      </c>
      <c r="E27" s="24">
        <v>59877.4</v>
      </c>
      <c r="G27" s="10"/>
      <c r="H27" s="10"/>
      <c r="M27" s="31"/>
      <c r="N27" s="31"/>
      <c r="O27" s="31"/>
      <c r="P27" s="31"/>
      <c r="Q27" s="35"/>
      <c r="R27" s="46" t="s">
        <v>52</v>
      </c>
      <c r="S27" s="47"/>
    </row>
    <row r="28" spans="1:20">
      <c r="A28" s="17" t="s">
        <v>40</v>
      </c>
      <c r="B28" s="23" t="s">
        <v>45</v>
      </c>
      <c r="C28" s="23" t="s">
        <v>35</v>
      </c>
      <c r="D28" s="23" t="s">
        <v>46</v>
      </c>
      <c r="E28" s="24">
        <v>42903.06</v>
      </c>
      <c r="G28" s="10"/>
      <c r="H28" s="10"/>
      <c r="M28" s="31"/>
      <c r="N28" s="31"/>
      <c r="O28" s="31"/>
      <c r="P28" s="31"/>
      <c r="Q28" s="31"/>
      <c r="R28" s="37"/>
      <c r="S28" s="37"/>
    </row>
    <row r="29" spans="1:20">
      <c r="A29" s="25" t="s">
        <v>66</v>
      </c>
      <c r="B29" s="23" t="s">
        <v>67</v>
      </c>
      <c r="C29" s="23" t="s">
        <v>35</v>
      </c>
      <c r="D29" s="23" t="s">
        <v>47</v>
      </c>
      <c r="E29" s="24">
        <v>5500</v>
      </c>
      <c r="G29" s="10"/>
      <c r="H29" s="10"/>
      <c r="M29" s="31"/>
      <c r="N29" s="31"/>
      <c r="O29" s="31"/>
      <c r="P29" s="31"/>
      <c r="Q29" s="31"/>
      <c r="R29" s="31"/>
      <c r="S29" s="31"/>
    </row>
    <row r="30" spans="1:20">
      <c r="A30" s="25" t="s">
        <v>68</v>
      </c>
      <c r="B30" s="23" t="s">
        <v>69</v>
      </c>
      <c r="C30" s="23" t="s">
        <v>35</v>
      </c>
      <c r="D30" s="23" t="s">
        <v>47</v>
      </c>
      <c r="E30" s="24">
        <v>7023</v>
      </c>
      <c r="G30" s="10"/>
      <c r="H30" s="10"/>
    </row>
    <row r="31" spans="1:20" ht="15" customHeight="1">
      <c r="A31" s="25" t="s">
        <v>70</v>
      </c>
      <c r="B31" s="23" t="s">
        <v>69</v>
      </c>
      <c r="C31" s="23" t="s">
        <v>35</v>
      </c>
      <c r="D31" s="23" t="s">
        <v>47</v>
      </c>
      <c r="E31" s="24">
        <v>600</v>
      </c>
      <c r="G31" s="10"/>
      <c r="H31" s="10"/>
    </row>
    <row r="32" spans="1:20" ht="39" customHeight="1">
      <c r="A32" s="25" t="s">
        <v>71</v>
      </c>
      <c r="B32" s="23" t="s">
        <v>72</v>
      </c>
      <c r="C32" s="23" t="s">
        <v>35</v>
      </c>
      <c r="D32" s="23" t="s">
        <v>73</v>
      </c>
      <c r="E32" s="24">
        <v>40429</v>
      </c>
      <c r="G32" s="10"/>
      <c r="H32" s="10"/>
    </row>
    <row r="33" spans="1:8" ht="19.5" thickBot="1">
      <c r="A33" s="19" t="s">
        <v>16</v>
      </c>
      <c r="B33" s="20"/>
      <c r="C33" s="20"/>
      <c r="D33" s="21"/>
      <c r="E33" s="22">
        <f>SUM(E12:E32)</f>
        <v>780046.56</v>
      </c>
      <c r="G33" s="10"/>
      <c r="H33" s="10"/>
    </row>
    <row r="34" spans="1:8">
      <c r="A34" s="5"/>
      <c r="B34" s="5"/>
      <c r="C34" s="5"/>
      <c r="D34" s="5"/>
      <c r="E34" s="6"/>
    </row>
    <row r="35" spans="1:8" ht="33" customHeight="1">
      <c r="A35" s="51" t="s">
        <v>79</v>
      </c>
      <c r="B35" s="51"/>
      <c r="C35" s="51"/>
      <c r="D35" s="51"/>
      <c r="E35" s="51"/>
    </row>
    <row r="36" spans="1:8">
      <c r="A36" s="5"/>
      <c r="B36" s="5"/>
      <c r="C36" s="5"/>
      <c r="D36" s="5"/>
      <c r="E36" s="6"/>
    </row>
    <row r="37" spans="1:8" ht="15" customHeight="1">
      <c r="A37" s="51" t="s">
        <v>43</v>
      </c>
      <c r="B37" s="51"/>
      <c r="C37" s="51"/>
      <c r="D37" s="51"/>
      <c r="E37" s="51"/>
    </row>
    <row r="38" spans="1:8">
      <c r="A38" s="5"/>
      <c r="B38" s="5"/>
      <c r="C38" s="5"/>
      <c r="D38" s="5"/>
      <c r="E38" s="6"/>
    </row>
    <row r="39" spans="1:8">
      <c r="A39" s="53" t="s">
        <v>44</v>
      </c>
      <c r="B39" s="53"/>
      <c r="C39" s="53"/>
      <c r="D39" s="53"/>
      <c r="E39" s="53"/>
    </row>
    <row r="40" spans="1:8">
      <c r="A40" s="5"/>
      <c r="B40" s="5"/>
      <c r="C40" s="5"/>
      <c r="D40" s="5"/>
      <c r="E40" s="6"/>
    </row>
    <row r="41" spans="1:8" ht="33" customHeight="1">
      <c r="A41" s="51" t="s">
        <v>17</v>
      </c>
      <c r="B41" s="51"/>
      <c r="C41" s="51"/>
      <c r="D41" s="51"/>
      <c r="E41" s="51"/>
    </row>
    <row r="42" spans="1:8">
      <c r="A42" s="5"/>
      <c r="B42" s="5"/>
      <c r="C42" s="5"/>
      <c r="D42" s="5"/>
      <c r="E42" s="6"/>
    </row>
    <row r="43" spans="1:8">
      <c r="A43" s="5"/>
      <c r="B43" s="5"/>
      <c r="C43" s="5"/>
      <c r="D43" s="5"/>
      <c r="E43" s="6"/>
    </row>
    <row r="44" spans="1:8">
      <c r="A44" s="54" t="s">
        <v>18</v>
      </c>
      <c r="B44" s="54"/>
      <c r="C44" s="54"/>
      <c r="D44" s="54"/>
      <c r="E44" s="54"/>
    </row>
    <row r="45" spans="1:8">
      <c r="A45" s="5"/>
      <c r="B45" s="5"/>
      <c r="C45" s="5"/>
      <c r="D45" s="5"/>
      <c r="E45" s="6"/>
    </row>
    <row r="46" spans="1:8">
      <c r="A46" s="5" t="s">
        <v>75</v>
      </c>
      <c r="B46" s="5" t="s">
        <v>76</v>
      </c>
      <c r="C46" s="5"/>
      <c r="D46" s="5"/>
      <c r="E46" s="6" t="s">
        <v>21</v>
      </c>
    </row>
    <row r="47" spans="1:8">
      <c r="A47" s="5"/>
      <c r="B47" s="5"/>
      <c r="C47" s="5"/>
      <c r="D47" s="5"/>
      <c r="E47" s="6" t="s">
        <v>23</v>
      </c>
    </row>
    <row r="48" spans="1:8">
      <c r="A48" s="5"/>
      <c r="B48" s="5"/>
      <c r="C48" s="5"/>
      <c r="D48" s="5"/>
      <c r="E48" s="6"/>
    </row>
    <row r="49" spans="1:5">
      <c r="A49" s="5" t="s">
        <v>19</v>
      </c>
      <c r="B49" s="5" t="s">
        <v>33</v>
      </c>
      <c r="C49" s="5"/>
      <c r="D49" s="5"/>
    </row>
    <row r="50" spans="1:5">
      <c r="A50" s="5"/>
      <c r="B50" s="53" t="s">
        <v>77</v>
      </c>
      <c r="C50" s="53"/>
      <c r="D50" s="53"/>
      <c r="E50" s="6" t="s">
        <v>21</v>
      </c>
    </row>
    <row r="51" spans="1:5">
      <c r="A51" s="5"/>
      <c r="B51" s="5"/>
      <c r="C51" s="5"/>
      <c r="D51" s="5"/>
      <c r="E51" s="6" t="s">
        <v>23</v>
      </c>
    </row>
    <row r="52" spans="1:5">
      <c r="A52" s="5"/>
      <c r="B52" s="5"/>
      <c r="C52" s="5"/>
      <c r="D52" s="5"/>
      <c r="E52" s="6"/>
    </row>
    <row r="53" spans="1:5">
      <c r="A53" s="5" t="s">
        <v>24</v>
      </c>
      <c r="B53" s="5" t="s">
        <v>20</v>
      </c>
      <c r="C53" s="5"/>
      <c r="D53" s="5"/>
      <c r="E53" s="6" t="s">
        <v>21</v>
      </c>
    </row>
    <row r="54" spans="1:5">
      <c r="A54" s="5"/>
      <c r="B54" s="52" t="s">
        <v>22</v>
      </c>
      <c r="C54" s="52"/>
      <c r="D54" s="52"/>
      <c r="E54" s="6" t="s">
        <v>23</v>
      </c>
    </row>
  </sheetData>
  <mergeCells count="13">
    <mergeCell ref="R27:S27"/>
    <mergeCell ref="A1:E1"/>
    <mergeCell ref="A2:E2"/>
    <mergeCell ref="D4:E4"/>
    <mergeCell ref="A7:E7"/>
    <mergeCell ref="A9:E9"/>
    <mergeCell ref="B54:D54"/>
    <mergeCell ref="A35:E35"/>
    <mergeCell ref="A37:E37"/>
    <mergeCell ref="A39:E39"/>
    <mergeCell ref="A41:E41"/>
    <mergeCell ref="A44:E44"/>
    <mergeCell ref="B50:D50"/>
  </mergeCells>
  <pageMargins left="0.22" right="0.21" top="0.16" bottom="0.22" header="0.16" footer="0.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54"/>
  <sheetViews>
    <sheetView topLeftCell="A27" workbookViewId="0">
      <selection activeCell="A44" sqref="A44:E54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9" customWidth="1"/>
    <col min="6" max="6" width="9.140625" customWidth="1"/>
    <col min="7" max="7" width="11.140625" customWidth="1"/>
    <col min="8" max="8" width="10" bestFit="1" customWidth="1"/>
    <col min="9" max="12" width="0" hidden="1" customWidth="1"/>
    <col min="13" max="13" width="9.7109375" bestFit="1" customWidth="1"/>
    <col min="18" max="18" width="10.85546875" customWidth="1"/>
  </cols>
  <sheetData>
    <row r="1" spans="1:19" ht="15.75">
      <c r="A1" s="48" t="s">
        <v>0</v>
      </c>
      <c r="B1" s="48"/>
      <c r="C1" s="48"/>
      <c r="D1" s="48"/>
      <c r="E1" s="48"/>
    </row>
    <row r="2" spans="1:19" ht="15.75">
      <c r="A2" s="49" t="s">
        <v>1</v>
      </c>
      <c r="B2" s="49"/>
      <c r="C2" s="49"/>
      <c r="D2" s="49"/>
      <c r="E2" s="49"/>
    </row>
    <row r="3" spans="1:19">
      <c r="A3" s="1"/>
      <c r="B3" s="1"/>
      <c r="C3" s="1"/>
      <c r="D3" s="1"/>
      <c r="E3" s="2"/>
    </row>
    <row r="4" spans="1:19">
      <c r="A4" s="27" t="s">
        <v>2</v>
      </c>
      <c r="B4" s="1"/>
      <c r="C4" s="1"/>
      <c r="D4" s="50" t="s">
        <v>48</v>
      </c>
      <c r="E4" s="50"/>
    </row>
    <row r="5" spans="1:19">
      <c r="A5" s="1"/>
      <c r="B5" s="1"/>
      <c r="C5" s="1"/>
      <c r="D5" s="1"/>
      <c r="E5" s="2"/>
    </row>
    <row r="6" spans="1:19">
      <c r="A6" s="1"/>
      <c r="B6" s="1"/>
      <c r="C6" s="1"/>
      <c r="D6" s="1"/>
      <c r="E6" s="2"/>
    </row>
    <row r="7" spans="1:19" ht="93" customHeight="1">
      <c r="A7" s="51" t="s">
        <v>36</v>
      </c>
      <c r="B7" s="51"/>
      <c r="C7" s="51"/>
      <c r="D7" s="51"/>
      <c r="E7" s="51"/>
    </row>
    <row r="8" spans="1:19">
      <c r="A8" s="3"/>
      <c r="B8" s="3"/>
      <c r="C8" s="3"/>
      <c r="D8" s="3"/>
      <c r="E8" s="4"/>
    </row>
    <row r="9" spans="1:19" ht="45.75" customHeight="1">
      <c r="A9" s="51" t="s">
        <v>41</v>
      </c>
      <c r="B9" s="51"/>
      <c r="C9" s="51"/>
      <c r="D9" s="51"/>
      <c r="E9" s="51"/>
    </row>
    <row r="10" spans="1:19" ht="15.75" thickBot="1">
      <c r="A10" s="5"/>
      <c r="B10" s="5"/>
      <c r="C10" s="5"/>
      <c r="D10" s="5"/>
      <c r="E10" s="6"/>
      <c r="G10">
        <v>4657.7</v>
      </c>
    </row>
    <row r="11" spans="1:19" ht="75">
      <c r="A11" s="11" t="s">
        <v>3</v>
      </c>
      <c r="B11" s="12" t="s">
        <v>4</v>
      </c>
      <c r="C11" s="12" t="s">
        <v>5</v>
      </c>
      <c r="D11" s="13" t="s">
        <v>6</v>
      </c>
      <c r="E11" s="14" t="s">
        <v>7</v>
      </c>
    </row>
    <row r="12" spans="1:19" ht="45.75" customHeight="1">
      <c r="A12" s="15" t="s">
        <v>27</v>
      </c>
      <c r="B12" s="7" t="s">
        <v>8</v>
      </c>
      <c r="C12" s="7" t="s">
        <v>9</v>
      </c>
      <c r="D12" s="8" t="s">
        <v>56</v>
      </c>
      <c r="E12" s="16">
        <f>0.26*$G$10*1+0.65*G10*2</f>
        <v>7266.0120000000006</v>
      </c>
    </row>
    <row r="13" spans="1:19" ht="54.75" customHeight="1">
      <c r="A13" s="17" t="s">
        <v>26</v>
      </c>
      <c r="B13" s="7" t="s">
        <v>8</v>
      </c>
      <c r="C13" s="7" t="s">
        <v>9</v>
      </c>
      <c r="D13" s="8" t="s">
        <v>57</v>
      </c>
      <c r="E13" s="16">
        <f>0.35*$G$10*1+0.69*G10*2</f>
        <v>8057.820999999999</v>
      </c>
    </row>
    <row r="14" spans="1:19" ht="38.25">
      <c r="A14" s="17" t="s">
        <v>25</v>
      </c>
      <c r="B14" s="7" t="s">
        <v>8</v>
      </c>
      <c r="C14" s="7" t="s">
        <v>9</v>
      </c>
      <c r="D14" s="8" t="s">
        <v>59</v>
      </c>
      <c r="E14" s="16">
        <f>0.6*$G$10*1+1.15*G10*2</f>
        <v>13507.329999999998</v>
      </c>
    </row>
    <row r="15" spans="1:19">
      <c r="A15" s="18" t="s">
        <v>11</v>
      </c>
      <c r="B15" s="7" t="s">
        <v>32</v>
      </c>
      <c r="C15" s="7" t="s">
        <v>9</v>
      </c>
      <c r="D15" s="28" t="s">
        <v>61</v>
      </c>
      <c r="E15" s="30">
        <f>0.03*1*G10+0.05*2*G10</f>
        <v>605.50099999999998</v>
      </c>
      <c r="G15" s="10"/>
      <c r="M15" s="40" t="s">
        <v>49</v>
      </c>
      <c r="N15" s="31">
        <f>0.03*12*G10</f>
        <v>1676.7719999999999</v>
      </c>
      <c r="O15" s="40" t="s">
        <v>50</v>
      </c>
      <c r="P15" s="32">
        <f>E15</f>
        <v>605.50099999999998</v>
      </c>
      <c r="Q15" s="40" t="s">
        <v>51</v>
      </c>
      <c r="R15" s="31">
        <f>N15-P15</f>
        <v>1071.271</v>
      </c>
      <c r="S15" s="40" t="s">
        <v>55</v>
      </c>
    </row>
    <row r="16" spans="1:19" ht="25.5">
      <c r="A16" s="18" t="s">
        <v>10</v>
      </c>
      <c r="B16" s="7" t="s">
        <v>32</v>
      </c>
      <c r="C16" s="7" t="s">
        <v>9</v>
      </c>
      <c r="D16" s="7" t="s">
        <v>62</v>
      </c>
      <c r="E16" s="16">
        <f>1.57*$G$10*1+2.56*2*G10</f>
        <v>31160.012999999999</v>
      </c>
      <c r="M16" s="40"/>
      <c r="N16" s="31"/>
      <c r="O16" s="40"/>
      <c r="P16" s="31"/>
      <c r="Q16" s="40"/>
      <c r="R16" s="31"/>
      <c r="S16" s="31"/>
    </row>
    <row r="17" spans="1:20">
      <c r="A17" s="18" t="s">
        <v>28</v>
      </c>
      <c r="B17" s="7" t="s">
        <v>8</v>
      </c>
      <c r="C17" s="7" t="s">
        <v>9</v>
      </c>
      <c r="D17" s="8" t="s">
        <v>64</v>
      </c>
      <c r="E17" s="16">
        <f>2.1*$G$10*1+3.48*2*G10</f>
        <v>42198.761999999995</v>
      </c>
      <c r="M17" s="40"/>
      <c r="N17" s="31"/>
      <c r="O17" s="40"/>
      <c r="P17" s="31"/>
      <c r="Q17" s="40"/>
      <c r="R17" s="31"/>
      <c r="S17" s="31"/>
    </row>
    <row r="18" spans="1:20" ht="21" customHeight="1">
      <c r="A18" s="17" t="s">
        <v>29</v>
      </c>
      <c r="B18" s="7" t="s">
        <v>32</v>
      </c>
      <c r="C18" s="7" t="s">
        <v>9</v>
      </c>
      <c r="D18" s="8" t="s">
        <v>63</v>
      </c>
      <c r="E18" s="16">
        <f>1.04*$G$10*1+1.93*2*G10</f>
        <v>22822.729999999996</v>
      </c>
      <c r="M18" s="40"/>
      <c r="N18" s="31"/>
      <c r="O18" s="40"/>
      <c r="P18" s="31"/>
      <c r="Q18" s="40"/>
      <c r="R18" s="31"/>
      <c r="S18" s="31"/>
    </row>
    <row r="19" spans="1:20" ht="25.5">
      <c r="A19" s="18" t="s">
        <v>12</v>
      </c>
      <c r="B19" s="7" t="s">
        <v>13</v>
      </c>
      <c r="C19" s="7" t="s">
        <v>9</v>
      </c>
      <c r="D19" s="8">
        <v>0.98</v>
      </c>
      <c r="E19" s="16">
        <f>D19*$G$10*3</f>
        <v>13693.637999999999</v>
      </c>
      <c r="M19" s="34"/>
      <c r="N19" s="31"/>
      <c r="O19" s="40"/>
      <c r="P19" s="31"/>
      <c r="Q19" s="40"/>
      <c r="R19" s="31"/>
      <c r="S19" s="31"/>
    </row>
    <row r="20" spans="1:20" ht="38.25">
      <c r="A20" s="18" t="s">
        <v>37</v>
      </c>
      <c r="B20" s="7" t="s">
        <v>13</v>
      </c>
      <c r="C20" s="7" t="s">
        <v>9</v>
      </c>
      <c r="D20" s="26" t="s">
        <v>58</v>
      </c>
      <c r="E20" s="30">
        <f>1.75*1*G10+1.93*2*G10</f>
        <v>26129.696999999996</v>
      </c>
      <c r="M20" s="40" t="s">
        <v>49</v>
      </c>
      <c r="N20" s="31">
        <f>1.75*12*G10</f>
        <v>97811.7</v>
      </c>
      <c r="O20" s="40" t="s">
        <v>50</v>
      </c>
      <c r="P20" s="33">
        <f>E20</f>
        <v>26129.696999999996</v>
      </c>
      <c r="Q20" s="40" t="s">
        <v>51</v>
      </c>
      <c r="R20" s="32">
        <f>N20-P20</f>
        <v>71682.002999999997</v>
      </c>
      <c r="S20" s="40" t="s">
        <v>54</v>
      </c>
    </row>
    <row r="21" spans="1:20" ht="25.5">
      <c r="A21" s="18" t="s">
        <v>38</v>
      </c>
      <c r="B21" s="7" t="s">
        <v>32</v>
      </c>
      <c r="C21" s="7" t="s">
        <v>9</v>
      </c>
      <c r="D21" s="26" t="s">
        <v>60</v>
      </c>
      <c r="E21" s="30">
        <f>0.27*1*G10+1.09*2*G10</f>
        <v>11411.365</v>
      </c>
      <c r="G21" s="10"/>
      <c r="M21" s="40" t="s">
        <v>49</v>
      </c>
      <c r="N21" s="31">
        <f>0.27*12*G10</f>
        <v>15090.948</v>
      </c>
      <c r="O21" s="40" t="s">
        <v>50</v>
      </c>
      <c r="P21" s="32">
        <f>E21</f>
        <v>11411.365</v>
      </c>
      <c r="Q21" s="40" t="s">
        <v>51</v>
      </c>
      <c r="R21" s="32">
        <f>N21-P21</f>
        <v>3679.5830000000005</v>
      </c>
      <c r="S21" s="40" t="s">
        <v>53</v>
      </c>
    </row>
    <row r="22" spans="1:20" ht="25.5">
      <c r="A22" s="18" t="s">
        <v>14</v>
      </c>
      <c r="B22" s="7" t="s">
        <v>13</v>
      </c>
      <c r="C22" s="7" t="s">
        <v>9</v>
      </c>
      <c r="D22" s="7">
        <v>0.35</v>
      </c>
      <c r="E22" s="16">
        <f>D22*$G$10*3</f>
        <v>4890.585</v>
      </c>
      <c r="M22" s="40"/>
      <c r="N22" s="31"/>
      <c r="O22" s="40"/>
      <c r="P22" s="31"/>
      <c r="Q22" s="40"/>
      <c r="R22" s="31"/>
      <c r="S22" s="40"/>
    </row>
    <row r="23" spans="1:20" ht="25.5">
      <c r="A23" s="18" t="s">
        <v>15</v>
      </c>
      <c r="B23" s="7" t="s">
        <v>8</v>
      </c>
      <c r="C23" s="7" t="s">
        <v>9</v>
      </c>
      <c r="D23" s="7">
        <v>0.98</v>
      </c>
      <c r="E23" s="16">
        <f t="shared" ref="E23:E24" si="0">D23*$G$10*12</f>
        <v>54774.551999999996</v>
      </c>
      <c r="K23">
        <f>D23*6*G10</f>
        <v>27387.275999999998</v>
      </c>
      <c r="L23" t="s">
        <v>42</v>
      </c>
      <c r="M23" s="41" t="s">
        <v>49</v>
      </c>
      <c r="N23" s="31">
        <f>0.98*12*G10</f>
        <v>54774.551999999996</v>
      </c>
      <c r="O23" s="40" t="s">
        <v>50</v>
      </c>
      <c r="P23" s="31">
        <f>14464</f>
        <v>14464</v>
      </c>
      <c r="Q23" s="40" t="s">
        <v>51</v>
      </c>
      <c r="R23" s="31">
        <f>N23-P23</f>
        <v>40310.551999999996</v>
      </c>
      <c r="S23" s="40" t="s">
        <v>42</v>
      </c>
    </row>
    <row r="24" spans="1:20">
      <c r="A24" s="17" t="s">
        <v>30</v>
      </c>
      <c r="B24" s="7" t="s">
        <v>8</v>
      </c>
      <c r="C24" s="7" t="s">
        <v>9</v>
      </c>
      <c r="D24" s="7">
        <v>3</v>
      </c>
      <c r="E24" s="16">
        <f t="shared" si="0"/>
        <v>167677.19999999998</v>
      </c>
      <c r="G24" s="10"/>
      <c r="H24" s="10"/>
      <c r="K24" s="10">
        <f>K23-E19</f>
        <v>13693.637999999999</v>
      </c>
      <c r="M24" s="40"/>
      <c r="N24" s="31"/>
      <c r="O24" s="31"/>
      <c r="P24" s="31"/>
      <c r="Q24" s="31"/>
      <c r="R24" s="31"/>
      <c r="S24" s="31"/>
    </row>
    <row r="25" spans="1:20" ht="26.25" thickBot="1">
      <c r="A25" s="17" t="s">
        <v>31</v>
      </c>
      <c r="B25" s="7" t="s">
        <v>8</v>
      </c>
      <c r="C25" s="7" t="s">
        <v>9</v>
      </c>
      <c r="D25" s="7">
        <v>0.14000000000000001</v>
      </c>
      <c r="E25" s="16">
        <v>47042</v>
      </c>
      <c r="G25" s="10"/>
      <c r="H25" s="10"/>
      <c r="M25" s="31"/>
      <c r="N25" s="31"/>
      <c r="O25" s="31"/>
      <c r="P25" s="31"/>
      <c r="Q25" s="31"/>
      <c r="R25" s="36"/>
      <c r="S25" s="36"/>
    </row>
    <row r="26" spans="1:20">
      <c r="A26" s="17" t="s">
        <v>39</v>
      </c>
      <c r="B26" s="7" t="s">
        <v>32</v>
      </c>
      <c r="C26" s="7" t="s">
        <v>9</v>
      </c>
      <c r="D26" s="7" t="s">
        <v>65</v>
      </c>
      <c r="E26" s="16">
        <f>1*$G$10*1+2.96*2*G10</f>
        <v>32231.284</v>
      </c>
      <c r="G26" s="10"/>
      <c r="H26" s="10"/>
      <c r="M26" s="31"/>
      <c r="N26" s="31"/>
      <c r="O26" s="31"/>
      <c r="P26" s="31"/>
      <c r="Q26" s="35"/>
      <c r="R26" s="38">
        <f>R23-3874.62-26055.61-3319.028</f>
        <v>7061.2939999999926</v>
      </c>
      <c r="S26" s="39"/>
      <c r="T26" s="29"/>
    </row>
    <row r="27" spans="1:20" ht="15.75" thickBot="1">
      <c r="A27" s="25" t="s">
        <v>34</v>
      </c>
      <c r="B27" s="23" t="s">
        <v>45</v>
      </c>
      <c r="C27" s="23" t="s">
        <v>35</v>
      </c>
      <c r="D27" s="23" t="s">
        <v>46</v>
      </c>
      <c r="E27" s="24">
        <v>37163.79</v>
      </c>
      <c r="G27" s="10"/>
      <c r="H27" s="10"/>
      <c r="M27" s="31"/>
      <c r="N27" s="31"/>
      <c r="O27" s="31"/>
      <c r="P27" s="31"/>
      <c r="Q27" s="35"/>
      <c r="R27" s="46" t="s">
        <v>52</v>
      </c>
      <c r="S27" s="47"/>
    </row>
    <row r="28" spans="1:20">
      <c r="A28" s="17" t="s">
        <v>40</v>
      </c>
      <c r="B28" s="23" t="s">
        <v>45</v>
      </c>
      <c r="C28" s="23" t="s">
        <v>35</v>
      </c>
      <c r="D28" s="23" t="s">
        <v>46</v>
      </c>
      <c r="E28" s="24">
        <v>23547.52</v>
      </c>
      <c r="G28" s="10"/>
      <c r="H28" s="10"/>
      <c r="M28" s="31"/>
      <c r="N28" s="31"/>
      <c r="O28" s="31"/>
      <c r="P28" s="31"/>
      <c r="Q28" s="31"/>
      <c r="R28" s="37"/>
      <c r="S28" s="37"/>
    </row>
    <row r="29" spans="1:20">
      <c r="A29" s="25" t="s">
        <v>66</v>
      </c>
      <c r="B29" s="23" t="s">
        <v>67</v>
      </c>
      <c r="C29" s="23" t="s">
        <v>35</v>
      </c>
      <c r="D29" s="23" t="s">
        <v>47</v>
      </c>
      <c r="E29" s="24">
        <v>5500</v>
      </c>
      <c r="G29" s="10"/>
      <c r="H29" s="10"/>
      <c r="M29" s="31"/>
      <c r="N29" s="31"/>
      <c r="O29" s="31"/>
      <c r="P29" s="31"/>
      <c r="Q29" s="31"/>
      <c r="R29" s="31"/>
      <c r="S29" s="31"/>
    </row>
    <row r="30" spans="1:20">
      <c r="A30" s="25" t="s">
        <v>68</v>
      </c>
      <c r="B30" s="23" t="s">
        <v>69</v>
      </c>
      <c r="C30" s="23" t="s">
        <v>35</v>
      </c>
      <c r="D30" s="23" t="s">
        <v>47</v>
      </c>
      <c r="E30" s="24">
        <v>7023</v>
      </c>
      <c r="G30" s="10"/>
      <c r="H30" s="10"/>
    </row>
    <row r="31" spans="1:20" ht="15" customHeight="1">
      <c r="A31" s="25" t="s">
        <v>70</v>
      </c>
      <c r="B31" s="23" t="s">
        <v>69</v>
      </c>
      <c r="C31" s="23" t="s">
        <v>35</v>
      </c>
      <c r="D31" s="23" t="s">
        <v>47</v>
      </c>
      <c r="E31" s="24">
        <v>600</v>
      </c>
      <c r="G31" s="10"/>
      <c r="H31" s="10"/>
    </row>
    <row r="32" spans="1:20" ht="39" customHeight="1">
      <c r="A32" s="25" t="s">
        <v>71</v>
      </c>
      <c r="B32" s="23" t="s">
        <v>72</v>
      </c>
      <c r="C32" s="23" t="s">
        <v>35</v>
      </c>
      <c r="D32" s="23" t="s">
        <v>73</v>
      </c>
      <c r="E32" s="24">
        <v>40429</v>
      </c>
      <c r="G32" s="10"/>
      <c r="H32" s="10"/>
    </row>
    <row r="33" spans="1:8" ht="19.5" thickBot="1">
      <c r="A33" s="19" t="s">
        <v>16</v>
      </c>
      <c r="B33" s="20"/>
      <c r="C33" s="20"/>
      <c r="D33" s="21"/>
      <c r="E33" s="22">
        <f>SUM(E12:E32)</f>
        <v>597731.79999999981</v>
      </c>
      <c r="G33" s="10"/>
      <c r="H33" s="10"/>
    </row>
    <row r="34" spans="1:8">
      <c r="A34" s="5"/>
      <c r="B34" s="5"/>
      <c r="C34" s="5"/>
      <c r="D34" s="5"/>
      <c r="E34" s="6"/>
    </row>
    <row r="35" spans="1:8" ht="33" customHeight="1">
      <c r="A35" s="51" t="s">
        <v>74</v>
      </c>
      <c r="B35" s="51"/>
      <c r="C35" s="51"/>
      <c r="D35" s="51"/>
      <c r="E35" s="51"/>
    </row>
    <row r="36" spans="1:8">
      <c r="A36" s="5"/>
      <c r="B36" s="5"/>
      <c r="C36" s="5"/>
      <c r="D36" s="5"/>
      <c r="E36" s="6"/>
    </row>
    <row r="37" spans="1:8" ht="15" customHeight="1">
      <c r="A37" s="51" t="s">
        <v>43</v>
      </c>
      <c r="B37" s="51"/>
      <c r="C37" s="51"/>
      <c r="D37" s="51"/>
      <c r="E37" s="51"/>
    </row>
    <row r="38" spans="1:8">
      <c r="A38" s="5"/>
      <c r="B38" s="5"/>
      <c r="C38" s="5"/>
      <c r="D38" s="5"/>
      <c r="E38" s="6"/>
    </row>
    <row r="39" spans="1:8">
      <c r="A39" s="53" t="s">
        <v>44</v>
      </c>
      <c r="B39" s="53"/>
      <c r="C39" s="53"/>
      <c r="D39" s="53"/>
      <c r="E39" s="53"/>
    </row>
    <row r="40" spans="1:8">
      <c r="A40" s="5"/>
      <c r="B40" s="5"/>
      <c r="C40" s="5"/>
      <c r="D40" s="5"/>
      <c r="E40" s="6"/>
    </row>
    <row r="41" spans="1:8" ht="33" customHeight="1">
      <c r="A41" s="51" t="s">
        <v>17</v>
      </c>
      <c r="B41" s="51"/>
      <c r="C41" s="51"/>
      <c r="D41" s="51"/>
      <c r="E41" s="51"/>
    </row>
    <row r="42" spans="1:8">
      <c r="A42" s="5"/>
      <c r="B42" s="5"/>
      <c r="C42" s="5"/>
      <c r="D42" s="5"/>
      <c r="E42" s="6"/>
    </row>
    <row r="43" spans="1:8">
      <c r="A43" s="5"/>
      <c r="B43" s="5"/>
      <c r="C43" s="5"/>
      <c r="D43" s="5"/>
      <c r="E43" s="6"/>
    </row>
    <row r="44" spans="1:8">
      <c r="A44" s="54" t="s">
        <v>18</v>
      </c>
      <c r="B44" s="54"/>
      <c r="C44" s="54"/>
      <c r="D44" s="54"/>
      <c r="E44" s="54"/>
    </row>
    <row r="45" spans="1:8">
      <c r="A45" s="5"/>
      <c r="B45" s="5"/>
      <c r="C45" s="5"/>
      <c r="D45" s="5"/>
      <c r="E45" s="6"/>
    </row>
    <row r="46" spans="1:8">
      <c r="A46" s="5" t="s">
        <v>75</v>
      </c>
      <c r="B46" s="5" t="s">
        <v>76</v>
      </c>
      <c r="C46" s="5"/>
      <c r="D46" s="5"/>
      <c r="E46" s="6" t="s">
        <v>21</v>
      </c>
    </row>
    <row r="47" spans="1:8">
      <c r="A47" s="5"/>
      <c r="B47" s="5"/>
      <c r="C47" s="5"/>
      <c r="D47" s="5"/>
      <c r="E47" s="6" t="s">
        <v>23</v>
      </c>
    </row>
    <row r="48" spans="1:8">
      <c r="A48" s="5"/>
      <c r="B48" s="5"/>
      <c r="C48" s="5"/>
      <c r="D48" s="5"/>
      <c r="E48" s="6"/>
    </row>
    <row r="49" spans="1:5">
      <c r="A49" s="5" t="s">
        <v>19</v>
      </c>
      <c r="B49" s="5" t="s">
        <v>33</v>
      </c>
      <c r="C49" s="5"/>
      <c r="D49" s="5"/>
    </row>
    <row r="50" spans="1:5">
      <c r="A50" s="5"/>
      <c r="B50" s="53" t="s">
        <v>77</v>
      </c>
      <c r="C50" s="53"/>
      <c r="D50" s="53"/>
      <c r="E50" s="6" t="s">
        <v>21</v>
      </c>
    </row>
    <row r="51" spans="1:5">
      <c r="A51" s="5"/>
      <c r="B51" s="5"/>
      <c r="C51" s="5"/>
      <c r="D51" s="5"/>
      <c r="E51" s="6" t="s">
        <v>23</v>
      </c>
    </row>
    <row r="52" spans="1:5">
      <c r="A52" s="5"/>
      <c r="B52" s="5"/>
      <c r="C52" s="5"/>
      <c r="D52" s="5"/>
      <c r="E52" s="6"/>
    </row>
    <row r="53" spans="1:5">
      <c r="A53" s="5" t="s">
        <v>24</v>
      </c>
      <c r="B53" s="5" t="s">
        <v>20</v>
      </c>
      <c r="C53" s="5"/>
      <c r="D53" s="5"/>
      <c r="E53" s="6" t="s">
        <v>21</v>
      </c>
    </row>
    <row r="54" spans="1:5">
      <c r="A54" s="5"/>
      <c r="B54" s="52" t="s">
        <v>22</v>
      </c>
      <c r="C54" s="52"/>
      <c r="D54" s="52"/>
      <c r="E54" s="6" t="s">
        <v>23</v>
      </c>
    </row>
  </sheetData>
  <mergeCells count="13">
    <mergeCell ref="B54:D54"/>
    <mergeCell ref="R27:S27"/>
    <mergeCell ref="A1:E1"/>
    <mergeCell ref="A2:E2"/>
    <mergeCell ref="D4:E4"/>
    <mergeCell ref="A7:E7"/>
    <mergeCell ref="A9:E9"/>
    <mergeCell ref="A35:E35"/>
    <mergeCell ref="A37:E37"/>
    <mergeCell ref="A39:E39"/>
    <mergeCell ref="A41:E41"/>
    <mergeCell ref="A44:E44"/>
    <mergeCell ref="B50:D50"/>
  </mergeCells>
  <pageMargins left="0.22" right="0.21" top="0.16" bottom="0.22" header="0.16" footer="0.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 кв</vt:lpstr>
      <vt:lpstr>3 кв</vt:lpstr>
      <vt:lpstr>2 кв</vt:lpstr>
      <vt:lpstr>1 кв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</dc:creator>
  <cp:lastModifiedBy>User</cp:lastModifiedBy>
  <cp:lastPrinted>2025-03-12T08:13:55Z</cp:lastPrinted>
  <dcterms:created xsi:type="dcterms:W3CDTF">2017-03-13T08:54:22Z</dcterms:created>
  <dcterms:modified xsi:type="dcterms:W3CDTF">2025-03-12T08:14:33Z</dcterms:modified>
</cp:coreProperties>
</file>